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ipres-my.sharepoint.com/personal/aencalada_dipres_gob_cl/Documents/Documentos de trabajo/Comisión Asesora/Comisión Gasto Público/"/>
    </mc:Choice>
  </mc:AlternateContent>
  <xr:revisionPtr revIDLastSave="0" documentId="8_{54109590-2039-4483-96AB-81F7ABD2137F}" xr6:coauthVersionLast="47" xr6:coauthVersionMax="47" xr10:uidLastSave="{00000000-0000-0000-0000-000000000000}"/>
  <bookViews>
    <workbookView xWindow="6675" yWindow="1470" windowWidth="21600" windowHeight="14130" tabRatio="512" firstSheet="7" activeTab="19" xr2:uid="{EB60B7DB-EBA2-4B13-A9F5-D9DF3D032AB8}"/>
  </bookViews>
  <sheets>
    <sheet name="1" sheetId="18" r:id="rId1"/>
    <sheet name="2" sheetId="19" r:id="rId2"/>
    <sheet name="3" sheetId="20" r:id="rId3"/>
    <sheet name="4" sheetId="22" r:id="rId4"/>
    <sheet name="10" sheetId="17" r:id="rId5"/>
    <sheet name="11" sheetId="23" r:id="rId6"/>
    <sheet name="12" sheetId="16" r:id="rId7"/>
    <sheet name="13" sheetId="15" r:id="rId8"/>
    <sheet name="15" sheetId="1" r:id="rId9"/>
    <sheet name="19" sheetId="11" r:id="rId10"/>
    <sheet name="20" sheetId="12" r:id="rId11"/>
    <sheet name="21" sheetId="26" r:id="rId12"/>
    <sheet name="22" sheetId="27" r:id="rId13"/>
    <sheet name="23" sheetId="28" r:id="rId14"/>
    <sheet name="24" sheetId="13" r:id="rId15"/>
    <sheet name="25" sheetId="14" r:id="rId16"/>
    <sheet name="28" sheetId="6" r:id="rId17"/>
    <sheet name="29" sheetId="8" r:id="rId18"/>
    <sheet name="31" sheetId="4" r:id="rId19"/>
    <sheet name="32" sheetId="29" r:id="rId20"/>
    <sheet name="EUS_Régimen General_JUNIO2025 " sheetId="10" r:id="rId21"/>
    <sheet name="Factor de Actualización" sheetId="21" r:id="rId22"/>
  </sheets>
  <definedNames>
    <definedName name="_xlnm._FilterDatabase" localSheetId="15" hidden="1">'25'!$A$3:$H$79</definedName>
    <definedName name="_xlnm.Print_Area" localSheetId="20">'EUS_Régimen General_JUNIO2025 '!$B$1:$V$150</definedName>
    <definedName name="_xlnm.Print_Titles" localSheetId="20">'EUS_Régimen General_JUNIO2025 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9" l="1"/>
  <c r="C14" i="29"/>
  <c r="C13" i="29"/>
  <c r="C11" i="29"/>
  <c r="C17" i="29" l="1"/>
  <c r="C4" i="29"/>
  <c r="C5" i="29" s="1"/>
  <c r="D7" i="27"/>
  <c r="C7" i="27"/>
  <c r="C19" i="26"/>
  <c r="C17" i="26"/>
  <c r="C18" i="26"/>
  <c r="C10" i="26"/>
  <c r="E21" i="23"/>
  <c r="D20" i="23"/>
  <c r="C20" i="23"/>
  <c r="C60" i="13" l="1"/>
  <c r="F36" i="11"/>
  <c r="C45" i="11"/>
  <c r="D30" i="11"/>
  <c r="D28" i="11"/>
  <c r="D29" i="11"/>
  <c r="D31" i="11"/>
  <c r="D27" i="11"/>
  <c r="E36" i="11" l="1"/>
  <c r="P16" i="11"/>
  <c r="P17" i="11"/>
  <c r="P18" i="11"/>
  <c r="P19" i="11"/>
  <c r="P20" i="11"/>
  <c r="P21" i="11"/>
  <c r="C16" i="23"/>
  <c r="D16" i="23"/>
  <c r="E20" i="23" s="1"/>
  <c r="C27" i="11"/>
  <c r="C31" i="11"/>
  <c r="C30" i="11"/>
  <c r="C29" i="11"/>
  <c r="C28" i="11"/>
  <c r="N10" i="11"/>
  <c r="I8" i="6" l="1"/>
  <c r="D22" i="28"/>
  <c r="D21" i="28"/>
  <c r="D23" i="28" s="1"/>
  <c r="E13" i="28"/>
  <c r="E14" i="28"/>
  <c r="E12" i="28"/>
  <c r="G27" i="11" l="1"/>
  <c r="C20" i="1"/>
  <c r="E7" i="22"/>
  <c r="E6" i="22"/>
  <c r="E5" i="22"/>
  <c r="E4" i="22"/>
  <c r="C5" i="19"/>
  <c r="H12" i="17" l="1"/>
  <c r="D6" i="18"/>
  <c r="C6" i="18"/>
  <c r="E31" i="12"/>
  <c r="E27" i="12"/>
  <c r="F31" i="12"/>
  <c r="F30" i="12"/>
  <c r="F29" i="12"/>
  <c r="F27" i="12"/>
  <c r="C3" i="1"/>
  <c r="B10" i="1"/>
  <c r="C10" i="1" s="1"/>
  <c r="F7" i="16"/>
  <c r="F8" i="16"/>
  <c r="F9" i="16"/>
  <c r="F6" i="16"/>
  <c r="F5" i="16"/>
  <c r="E7" i="16"/>
  <c r="E8" i="16"/>
  <c r="E9" i="16"/>
  <c r="E6" i="16"/>
  <c r="E5" i="16"/>
  <c r="C5" i="15"/>
  <c r="C6" i="15" s="1"/>
  <c r="C86" i="14"/>
  <c r="C28" i="12"/>
  <c r="C29" i="12"/>
  <c r="C30" i="12"/>
  <c r="C31" i="12"/>
  <c r="C27" i="12"/>
  <c r="G31" i="11"/>
  <c r="G30" i="11"/>
  <c r="E30" i="12" s="1"/>
  <c r="G29" i="11"/>
  <c r="E29" i="12" s="1"/>
  <c r="G28" i="11"/>
  <c r="F28" i="12" s="1"/>
  <c r="N20" i="12"/>
  <c r="M20" i="12"/>
  <c r="L20" i="12"/>
  <c r="K20" i="12"/>
  <c r="J20" i="12"/>
  <c r="I20" i="12"/>
  <c r="H20" i="12"/>
  <c r="G20" i="12"/>
  <c r="F20" i="12"/>
  <c r="E20" i="12"/>
  <c r="D20" i="12"/>
  <c r="N19" i="12"/>
  <c r="M19" i="12"/>
  <c r="L19" i="12"/>
  <c r="K19" i="12"/>
  <c r="J19" i="12"/>
  <c r="I19" i="12"/>
  <c r="H19" i="12"/>
  <c r="G19" i="12"/>
  <c r="F19" i="12"/>
  <c r="E19" i="12"/>
  <c r="D19" i="12"/>
  <c r="N18" i="12"/>
  <c r="M18" i="12"/>
  <c r="L18" i="12"/>
  <c r="K18" i="12"/>
  <c r="J18" i="12"/>
  <c r="I18" i="12"/>
  <c r="H18" i="12"/>
  <c r="G18" i="12"/>
  <c r="F18" i="12"/>
  <c r="E18" i="12"/>
  <c r="D18" i="12"/>
  <c r="N17" i="12"/>
  <c r="M17" i="12"/>
  <c r="L17" i="12"/>
  <c r="K17" i="12"/>
  <c r="J17" i="12"/>
  <c r="I17" i="12"/>
  <c r="H17" i="12"/>
  <c r="G17" i="12"/>
  <c r="F17" i="12"/>
  <c r="E17" i="12"/>
  <c r="D17" i="12"/>
  <c r="N16" i="12"/>
  <c r="M16" i="12"/>
  <c r="L16" i="12"/>
  <c r="K16" i="12"/>
  <c r="J16" i="12"/>
  <c r="I16" i="12"/>
  <c r="H16" i="12"/>
  <c r="G16" i="12"/>
  <c r="F16" i="12"/>
  <c r="E16" i="12"/>
  <c r="D16" i="12"/>
  <c r="N10" i="12"/>
  <c r="M10" i="12"/>
  <c r="L10" i="12"/>
  <c r="K10" i="12"/>
  <c r="J10" i="12"/>
  <c r="I10" i="12"/>
  <c r="I21" i="12" s="1"/>
  <c r="H10" i="12"/>
  <c r="G10" i="12"/>
  <c r="F10" i="12"/>
  <c r="E10" i="12"/>
  <c r="F21" i="12" s="1"/>
  <c r="D10" i="12"/>
  <c r="C10" i="12"/>
  <c r="C32" i="11"/>
  <c r="N20" i="11"/>
  <c r="M20" i="11"/>
  <c r="L20" i="11"/>
  <c r="K20" i="11"/>
  <c r="J20" i="11"/>
  <c r="I20" i="11"/>
  <c r="H20" i="11"/>
  <c r="G20" i="11"/>
  <c r="F20" i="11"/>
  <c r="E20" i="11"/>
  <c r="D20" i="11"/>
  <c r="N19" i="11"/>
  <c r="M19" i="11"/>
  <c r="L19" i="11"/>
  <c r="K19" i="11"/>
  <c r="J19" i="11"/>
  <c r="I19" i="11"/>
  <c r="H19" i="11"/>
  <c r="G19" i="11"/>
  <c r="F19" i="11"/>
  <c r="E19" i="11"/>
  <c r="D19" i="11"/>
  <c r="N18" i="11"/>
  <c r="M18" i="11"/>
  <c r="L18" i="11"/>
  <c r="K18" i="11"/>
  <c r="J18" i="11"/>
  <c r="I18" i="11"/>
  <c r="H18" i="11"/>
  <c r="G18" i="11"/>
  <c r="F18" i="11"/>
  <c r="E18" i="11"/>
  <c r="D18" i="11"/>
  <c r="N17" i="11"/>
  <c r="M17" i="11"/>
  <c r="L17" i="11"/>
  <c r="K17" i="11"/>
  <c r="J17" i="11"/>
  <c r="I17" i="11"/>
  <c r="H17" i="11"/>
  <c r="G17" i="11"/>
  <c r="F17" i="11"/>
  <c r="E17" i="11"/>
  <c r="D17" i="11"/>
  <c r="N16" i="11"/>
  <c r="M16" i="11"/>
  <c r="L16" i="11"/>
  <c r="K16" i="11"/>
  <c r="J16" i="11"/>
  <c r="I16" i="11"/>
  <c r="H16" i="11"/>
  <c r="G16" i="11"/>
  <c r="F16" i="11"/>
  <c r="E16" i="11"/>
  <c r="D16" i="11"/>
  <c r="M10" i="11"/>
  <c r="L10" i="11"/>
  <c r="K10" i="11"/>
  <c r="J10" i="11"/>
  <c r="I10" i="11"/>
  <c r="I21" i="11" s="1"/>
  <c r="H10" i="11"/>
  <c r="G10" i="11"/>
  <c r="F10" i="11"/>
  <c r="F21" i="11" s="1"/>
  <c r="E10" i="11"/>
  <c r="D10" i="11"/>
  <c r="C10" i="11"/>
  <c r="D21" i="11" s="1"/>
  <c r="C10" i="15" l="1"/>
  <c r="C11" i="15" s="1"/>
  <c r="C12" i="15" s="1"/>
  <c r="C13" i="15" s="1"/>
  <c r="C14" i="15" s="1"/>
  <c r="G27" i="12"/>
  <c r="E28" i="12"/>
  <c r="G28" i="12" s="1"/>
  <c r="G21" i="11"/>
  <c r="H21" i="11"/>
  <c r="J21" i="11"/>
  <c r="L21" i="11"/>
  <c r="E21" i="11"/>
  <c r="E28" i="11"/>
  <c r="H28" i="11" s="1"/>
  <c r="G9" i="16"/>
  <c r="G5" i="16"/>
  <c r="G7" i="16"/>
  <c r="G8" i="16"/>
  <c r="G6" i="16"/>
  <c r="G10" i="16"/>
  <c r="G11" i="16" s="1"/>
  <c r="G12" i="16" s="1"/>
  <c r="K21" i="12"/>
  <c r="N21" i="12"/>
  <c r="P16" i="12"/>
  <c r="M21" i="12"/>
  <c r="L21" i="12"/>
  <c r="D21" i="12"/>
  <c r="P19" i="12"/>
  <c r="G21" i="12"/>
  <c r="H21" i="12"/>
  <c r="G30" i="12"/>
  <c r="P18" i="12"/>
  <c r="G31" i="12"/>
  <c r="P17" i="12"/>
  <c r="P20" i="12"/>
  <c r="E31" i="11"/>
  <c r="H31" i="11" s="1"/>
  <c r="D32" i="11"/>
  <c r="E30" i="11"/>
  <c r="H30" i="11" s="1"/>
  <c r="K21" i="11"/>
  <c r="E29" i="11"/>
  <c r="H29" i="11" s="1"/>
  <c r="N21" i="11"/>
  <c r="M21" i="11"/>
  <c r="G29" i="12"/>
  <c r="E21" i="12"/>
  <c r="J21" i="12"/>
  <c r="G32" i="12" l="1"/>
  <c r="E27" i="11"/>
  <c r="P21" i="12"/>
  <c r="C32" i="12"/>
  <c r="H27" i="11" l="1"/>
  <c r="H32" i="11" s="1"/>
  <c r="E32" i="11"/>
  <c r="I8" i="8"/>
  <c r="B5" i="4" l="1"/>
  <c r="B11" i="4" s="1"/>
  <c r="B20" i="1"/>
  <c r="B19" i="1" l="1"/>
  <c r="C19" i="1" s="1"/>
</calcChain>
</file>

<file path=xl/sharedStrings.xml><?xml version="1.0" encoding="utf-8"?>
<sst xmlns="http://schemas.openxmlformats.org/spreadsheetml/2006/main" count="1223" uniqueCount="587">
  <si>
    <t>Efecto medidas</t>
  </si>
  <si>
    <t>MM$2025</t>
  </si>
  <si>
    <t>Régimen (a partir del año 5)</t>
  </si>
  <si>
    <t>Aplicación Matriz de Riesgo</t>
  </si>
  <si>
    <t>Mayor fiscalizacion proceso apelaciones</t>
  </si>
  <si>
    <t>Total</t>
  </si>
  <si>
    <r>
      <rPr>
        <b/>
        <sz val="8"/>
        <color theme="1"/>
        <rFont val="Aptos Narrow"/>
        <family val="2"/>
        <scheme val="minor"/>
      </rPr>
      <t>Fuente</t>
    </r>
    <r>
      <rPr>
        <sz val="8"/>
        <color theme="1"/>
        <rFont val="Aptos Narrow"/>
        <family val="2"/>
        <scheme val="minor"/>
      </rPr>
      <t>: Estimaciones Subsecretaría de Educación Superior</t>
    </r>
  </si>
  <si>
    <t>Estudiantes con gratuidad 2024 matriculados en carreras profesionales con y sin licenciatura, a partir del año siguiente a cumplir 30 años</t>
  </si>
  <si>
    <t>Ejecución de gratuidad por estudiante 2024 ($2025)</t>
  </si>
  <si>
    <t>Reducción anual (MM$2025)</t>
  </si>
  <si>
    <r>
      <rPr>
        <b/>
        <sz val="8"/>
        <color theme="1"/>
        <rFont val="Aptos Narrow"/>
        <family val="2"/>
        <scheme val="minor"/>
      </rPr>
      <t>Fuente</t>
    </r>
    <r>
      <rPr>
        <sz val="8"/>
        <color theme="1"/>
        <rFont val="Aptos Narrow"/>
        <family val="2"/>
        <scheme val="minor"/>
      </rPr>
      <t xml:space="preserve">: Estimación propia en base a datos abiertos Ministerio de Educación </t>
    </r>
  </si>
  <si>
    <t xml:space="preserve">Decil </t>
  </si>
  <si>
    <t>Postergación del decil 7</t>
  </si>
  <si>
    <t>Eliminación del decil 8, 9 y 10</t>
  </si>
  <si>
    <r>
      <rPr>
        <b/>
        <sz val="8"/>
        <color theme="1"/>
        <rFont val="Aptos Narrow"/>
        <family val="2"/>
        <scheme val="minor"/>
      </rPr>
      <t>Fuente</t>
    </r>
    <r>
      <rPr>
        <sz val="8"/>
        <color theme="1"/>
        <rFont val="Aptos Narrow"/>
        <family val="2"/>
        <scheme val="minor"/>
      </rPr>
      <t>: Estimación propia en base a datos Dipres</t>
    </r>
  </si>
  <si>
    <r>
      <rPr>
        <b/>
        <sz val="8"/>
        <color theme="1"/>
        <rFont val="Aptos Narrow"/>
        <family val="2"/>
        <scheme val="minor"/>
      </rPr>
      <t>Nota</t>
    </r>
    <r>
      <rPr>
        <sz val="8"/>
        <color theme="1"/>
        <rFont val="Aptos Narrow"/>
        <family val="2"/>
        <scheme val="minor"/>
      </rPr>
      <t>: Considera IES que actualmente están en gratuidad.</t>
    </r>
  </si>
  <si>
    <t>Medida</t>
  </si>
  <si>
    <t>Costo anual estimado CNEP</t>
  </si>
  <si>
    <t>Impacto anual estimado CNEP</t>
  </si>
  <si>
    <t>Promedio impacto anual (MM$2025)</t>
  </si>
  <si>
    <t>Paquetización</t>
  </si>
  <si>
    <t>-</t>
  </si>
  <si>
    <t>1-2% de USD $1.600 MM</t>
  </si>
  <si>
    <t>Compra coordinada</t>
  </si>
  <si>
    <t>1,5-2,5% de USD $1.600 MM</t>
  </si>
  <si>
    <t>Gestión y logística</t>
  </si>
  <si>
    <t>2,5% de USD $1.800 MM</t>
  </si>
  <si>
    <t>2-8% de USD $1.800 MM</t>
  </si>
  <si>
    <r>
      <rPr>
        <b/>
        <sz val="8"/>
        <color theme="1"/>
        <rFont val="Aptos Narrow"/>
        <family val="2"/>
        <scheme val="minor"/>
      </rPr>
      <t>Fuente</t>
    </r>
    <r>
      <rPr>
        <sz val="8"/>
        <color theme="1"/>
        <rFont val="Aptos Narrow"/>
        <family val="2"/>
        <scheme val="minor"/>
      </rPr>
      <t>: Estimación propia en base a presentación CNEP</t>
    </r>
  </si>
  <si>
    <r>
      <rPr>
        <b/>
        <sz val="8"/>
        <color theme="1"/>
        <rFont val="Aptos"/>
        <family val="2"/>
      </rPr>
      <t>Nota</t>
    </r>
    <r>
      <rPr>
        <sz val="8"/>
        <color theme="1"/>
        <rFont val="Aptos"/>
        <family val="2"/>
      </rPr>
      <t>: Se utiliza un valor del dólar de $962 (Cuadro 1 Supuestos Macroeconómicos 2025, Informe de Finanzas Públicas 2T 2025)</t>
    </r>
  </si>
  <si>
    <t>Beneficio</t>
  </si>
  <si>
    <t>Reajuste suspendido</t>
  </si>
  <si>
    <t>Monto aporte/subsidio por persona</t>
  </si>
  <si>
    <t>Beneficiarios 2025</t>
  </si>
  <si>
    <t>Estimación beneficiarios 2026</t>
  </si>
  <si>
    <t>Monto aporte/subsidio por persona ajustado 2026</t>
  </si>
  <si>
    <t>Diferencia (MM$2025)</t>
  </si>
  <si>
    <t>Aporte Familiar Permanente</t>
  </si>
  <si>
    <t>Congelar en pesos nominales 2025</t>
  </si>
  <si>
    <t>Subsidio al Empleo Joven</t>
  </si>
  <si>
    <t>Subsidio al Empleo de la Mujer</t>
  </si>
  <si>
    <t>Aranceles de Referencia Beca Bicentenario</t>
  </si>
  <si>
    <t>Congelar valor nominal 2025</t>
  </si>
  <si>
    <t>Beca de Integración Territorial</t>
  </si>
  <si>
    <t>Congelar valor a UTM junio 2025</t>
  </si>
  <si>
    <t>Beca Presidente de la República EM</t>
  </si>
  <si>
    <t>Beca Presidente de la República ES</t>
  </si>
  <si>
    <r>
      <rPr>
        <b/>
        <sz val="8"/>
        <color theme="1"/>
        <rFont val="Aptos Narrow"/>
        <family val="2"/>
        <scheme val="minor"/>
      </rPr>
      <t>Fuente</t>
    </r>
    <r>
      <rPr>
        <sz val="8"/>
        <color theme="1"/>
        <rFont val="Aptos Narrow"/>
        <family val="2"/>
        <scheme val="minor"/>
      </rPr>
      <t>: Estimación propia en base a información Dipres</t>
    </r>
  </si>
  <si>
    <r>
      <rPr>
        <b/>
        <sz val="8"/>
        <color theme="1"/>
        <rFont val="Aptos"/>
        <family val="2"/>
      </rPr>
      <t>Nota</t>
    </r>
    <r>
      <rPr>
        <sz val="8"/>
        <color theme="1"/>
        <rFont val="Aptos"/>
        <family val="2"/>
      </rPr>
      <t>: Se utiliza un valor IPC 2026 de 3,1 (Cuadro 3 Supuestos Macroeconómicos 2026 -2029, Informe de Finanzas Públicas 2T 2025) y valor UTM a junio 2025 de $68.785</t>
    </r>
  </si>
  <si>
    <t>Año</t>
  </si>
  <si>
    <t>Ejecutado / Ley Inicial</t>
  </si>
  <si>
    <t>Gasto Corriente</t>
  </si>
  <si>
    <t>Promedio simple</t>
  </si>
  <si>
    <t>Sobregasto 2024 (MM$2025)</t>
  </si>
  <si>
    <t>Sobre gasto</t>
  </si>
  <si>
    <t>Restringir el uso de recursos de la Provisión para Financiamientos comprometidos, del Tesoro Público, para fines distintos de los que originaron la provisión. </t>
  </si>
  <si>
    <t>Asignación 24.03.104 Provisión para Financiamientos Comprometidos. Operaciones Complementarias. Tesoro Público</t>
  </si>
  <si>
    <t>Presupuesto inicial (M$)</t>
  </si>
  <si>
    <t>Presupuesto Vigente</t>
  </si>
  <si>
    <t>Presupuesto inicial (M$2025)</t>
  </si>
  <si>
    <t>Presupuesto Vigente (M$2025)</t>
  </si>
  <si>
    <t>Diferencia (M$2025)</t>
  </si>
  <si>
    <t>Promedio (M$2025)</t>
  </si>
  <si>
    <t>Ahorro Potencial (20%) M$2025</t>
  </si>
  <si>
    <t>Ahorro Potencial (20%) MM$2025</t>
  </si>
  <si>
    <t>Porcentaje</t>
  </si>
  <si>
    <r>
      <t>Fuente:</t>
    </r>
    <r>
      <rPr>
        <sz val="8"/>
        <color theme="1"/>
        <rFont val="Aptos Narrow"/>
        <family val="2"/>
        <scheme val="minor"/>
      </rPr>
      <t xml:space="preserve"> Dipres</t>
    </r>
  </si>
  <si>
    <t>Supuesto:</t>
  </si>
  <si>
    <t>Se asume un porcentaje de 20%</t>
  </si>
  <si>
    <t>Aporte Anual al Fondo Plurianual para las Capacidades Estratégicas de la Defensa</t>
  </si>
  <si>
    <t>Datos utilizados</t>
  </si>
  <si>
    <t>Aporte considerado para 2025 (MUS$)</t>
  </si>
  <si>
    <t>Tipo de cambio promedio 2025</t>
  </si>
  <si>
    <t>Aporte considerado para 2025 (M$)</t>
  </si>
  <si>
    <t>Valor UF</t>
  </si>
  <si>
    <t>Aporte considerado para 2025 (UF)</t>
  </si>
  <si>
    <t>Condiciones financieras actuales de endeudamiento a largo plazo en el mercado local:</t>
  </si>
  <si>
    <t xml:space="preserve">Tasa soberana en UF a 20 años (BTU – 20) </t>
  </si>
  <si>
    <t>Estimación:</t>
  </si>
  <si>
    <t>Valor cuota (20 cuotas)</t>
  </si>
  <si>
    <t>Total pago intereses (UF)</t>
  </si>
  <si>
    <t>Total pago intereses (MM$)</t>
  </si>
  <si>
    <t>Monto (MM$2024)</t>
  </si>
  <si>
    <t>Monto (MM$2025)</t>
  </si>
  <si>
    <t>Montos transados en ChileCompra 2024</t>
  </si>
  <si>
    <t>licitaciones públicas (%)</t>
  </si>
  <si>
    <t>Tratos directos (%)</t>
  </si>
  <si>
    <t>Convenios marcos (%)</t>
  </si>
  <si>
    <t>Compr ágil - hasta 30 UTM (%)</t>
  </si>
  <si>
    <t>Licitaciones provadas (%)</t>
  </si>
  <si>
    <t>Montos transados en Convenios marco 2024 (MM pesos)</t>
  </si>
  <si>
    <t>Datos:</t>
  </si>
  <si>
    <t>sobregasto estudio Dipres (2025), en 12 Convenios Marco (%)</t>
  </si>
  <si>
    <t>sobregasto estudio Celhay et al (2022), en 3 Convenios Marco en  (%)</t>
  </si>
  <si>
    <t>Potencial ahorro en total convenios marco - Dipres (MM pesos 2024)</t>
  </si>
  <si>
    <t>Potencial ahorro en total convenios marco - Celhay et al  (MM pesos 2024)</t>
  </si>
  <si>
    <t>Diferencia</t>
  </si>
  <si>
    <t>Personal disponible del gobierno central a marzo de cada año (excluye SLEP)</t>
  </si>
  <si>
    <t>Estamento</t>
  </si>
  <si>
    <t>Directivos</t>
  </si>
  <si>
    <t>Profesionales</t>
  </si>
  <si>
    <t>Técnicos</t>
  </si>
  <si>
    <t>Administrativos</t>
  </si>
  <si>
    <t>Auxiliares</t>
  </si>
  <si>
    <t>Total general</t>
  </si>
  <si>
    <t>Crecimiento anual</t>
  </si>
  <si>
    <t>Crecimiento promedio anual</t>
  </si>
  <si>
    <t>Ahorro (Remuneraciones EUS régimen gral)</t>
  </si>
  <si>
    <t>Congelado</t>
  </si>
  <si>
    <t>Contrafactual</t>
  </si>
  <si>
    <t>Grado referencia</t>
  </si>
  <si>
    <t>Remuneración EUS ($)</t>
  </si>
  <si>
    <t>Ahorro ($MM anuales)</t>
  </si>
  <si>
    <t>Personal</t>
  </si>
  <si>
    <t>Remuneración EUS 2026 contrafactual ($)</t>
  </si>
  <si>
    <t>Remuneración EUS 2026 ajustada ($)</t>
  </si>
  <si>
    <t>Ahorro ($MM anual)</t>
  </si>
  <si>
    <t>Ajuste real 2022-2024 (%)</t>
  </si>
  <si>
    <t>Ratio Matrícula/AA.EE calculada a nivel agregado por Dependencia Año 2024</t>
  </si>
  <si>
    <t>Municipal</t>
  </si>
  <si>
    <t>PS y AD</t>
  </si>
  <si>
    <t>SLEP</t>
  </si>
  <si>
    <t>Salud incompatible o irrecuperable</t>
  </si>
  <si>
    <t>Salidas con licencia médica</t>
  </si>
  <si>
    <t>Incentivo al retiro</t>
  </si>
  <si>
    <t xml:space="preserve"> Duración promedio anual licencia por cotizante</t>
  </si>
  <si>
    <t>Fonasa</t>
  </si>
  <si>
    <t>Isapre</t>
  </si>
  <si>
    <t>Brecha promedio</t>
  </si>
  <si>
    <t>Privado</t>
  </si>
  <si>
    <t>Público</t>
  </si>
  <si>
    <t>Brecha</t>
  </si>
  <si>
    <t>Cotizantes por sector</t>
  </si>
  <si>
    <t>Publico</t>
  </si>
  <si>
    <t>Gasto por día sector público Fonasa</t>
  </si>
  <si>
    <t>Gasto por día sector privado Fonasa</t>
  </si>
  <si>
    <t>Ahorro 1</t>
  </si>
  <si>
    <t>Cierre de brecha público - privado en Fonasa</t>
  </si>
  <si>
    <t>Ahorro 2</t>
  </si>
  <si>
    <t>Cierre de brecha de 25% Fonasa - Isapre en Sector Privado</t>
  </si>
  <si>
    <t>ID_programa (código BIPS)</t>
  </si>
  <si>
    <t>Nombre Programa</t>
  </si>
  <si>
    <t>Ministerio</t>
  </si>
  <si>
    <t>Servicio</t>
  </si>
  <si>
    <t>Tipo_programa</t>
  </si>
  <si>
    <t>Gasto total ejecutado 2024 (M$2025)</t>
  </si>
  <si>
    <t>Justificación</t>
  </si>
  <si>
    <t>Antecedntes Complementarios</t>
  </si>
  <si>
    <t>Programa de Alimentación Escolar</t>
  </si>
  <si>
    <t>Ministerio de Educación</t>
  </si>
  <si>
    <t>Junta Nacional de Auxilio Escolar y Becas</t>
  </si>
  <si>
    <t>Social</t>
  </si>
  <si>
    <t>Hallazgos Reiterados en Monitoreo</t>
  </si>
  <si>
    <t>Excepción por tratarse de un programa para el cual no existe oferta progrmática para resolver el problema de política pública. Programa condicionado para resolver sus hallazgos durante el próximo año.</t>
  </si>
  <si>
    <t>Eficiencia Energética para la Vivienda - DS 27 Capítulo IV</t>
  </si>
  <si>
    <t>Ministerio de Vivienda y Urbanismo</t>
  </si>
  <si>
    <t>Subsecretaría de Vivienda y Urbanismo</t>
  </si>
  <si>
    <t>Por tratarse de un programa con proyectos de  inversión plurinanual y arrastres. Se sugiere condicionar presupuesto y que durante 2026 el programa deba dar cuenta de superar las debilidades o sea descontinuado.</t>
  </si>
  <si>
    <t>Mejoramiento de Condominios de Vivienda - DS 27 Capítulo III</t>
  </si>
  <si>
    <t>Desempeño Bajo Evaluación Ex Post</t>
  </si>
  <si>
    <t>Pavimentación Participativa</t>
  </si>
  <si>
    <t>Plan de Ingreso, Formación y Retención de Especialistas</t>
  </si>
  <si>
    <t>Ministerio de Salud</t>
  </si>
  <si>
    <t>Subsecretaría de Redes Asistenciales</t>
  </si>
  <si>
    <t>No existe oferta programática alternativa. Se sugiere condicionar presupuesto y que durante 2026 el programa deba dar cuenta de superar las debilidades o sea descontinuado.</t>
  </si>
  <si>
    <t>Programa de Extensión Horaria</t>
  </si>
  <si>
    <t>Subsecretaría de Educación Parvularia</t>
  </si>
  <si>
    <t>Beca Nuevo Milenio</t>
  </si>
  <si>
    <t>Subsecretaría de Educación Superior</t>
  </si>
  <si>
    <t>Más Adultos Mayores Autovalentes</t>
  </si>
  <si>
    <t>Actividades de Interés Nacional (Ex Transferencia Universidad de Chile)</t>
  </si>
  <si>
    <t>Beca Juan Gómez Millas</t>
  </si>
  <si>
    <t>Educación Superior Regional</t>
  </si>
  <si>
    <t>Mal Desempeño Ex Post</t>
  </si>
  <si>
    <t>Habilidades para la Vida</t>
  </si>
  <si>
    <t>Programa 4 a 7</t>
  </si>
  <si>
    <t>Ministerio de la Mujer y Equidad de Género</t>
  </si>
  <si>
    <t>Servicio Nacional de la Mujer y la Equidad de Género</t>
  </si>
  <si>
    <t>Habilidades para la Vida II</t>
  </si>
  <si>
    <t>Servicios Médicos (Asistencia Médica Prebásica, Básica y Media)</t>
  </si>
  <si>
    <t>Programa Mujeres Jefas de Hogar</t>
  </si>
  <si>
    <t>Hogares y Residencias Estudiantiles</t>
  </si>
  <si>
    <t>Red Digital de Espacios Patrimoniales (Ex Red de Bibliotecas Públicas)</t>
  </si>
  <si>
    <t>Ministerio de las Culturas, las Artes y el Patrimonio</t>
  </si>
  <si>
    <t>Servicio Nacional del Patrimonio Cultural</t>
  </si>
  <si>
    <t>Fondo-CNTV</t>
  </si>
  <si>
    <t>Ministerio Secretaría General de Gobierno</t>
  </si>
  <si>
    <t>Consejo Nacional de Televisión</t>
  </si>
  <si>
    <t>No Social</t>
  </si>
  <si>
    <t>Explorador</t>
  </si>
  <si>
    <t>Ministerio de Ciencia, Tecnología, Conocimiento e Innovación</t>
  </si>
  <si>
    <t>Agencia Nacional de Investigación y Desarrollo</t>
  </si>
  <si>
    <t>Sistema de Incentivos para la Sustentabilidad Agroambiental de los Suelos Agropecuarios (SIRSD-S)</t>
  </si>
  <si>
    <t>Ministerio de Agricultura</t>
  </si>
  <si>
    <t>Servicio Agricola y Ganadero</t>
  </si>
  <si>
    <t>Tenencia Responsable de Animales de Compañía</t>
  </si>
  <si>
    <t>Ministerio de Interior y Seguridad Pública</t>
  </si>
  <si>
    <t>Subsecretaría Desarrollo Regional y Administrativo</t>
  </si>
  <si>
    <t>Programa de Transferencia Tecnológica</t>
  </si>
  <si>
    <t>Hallazgos Reiterados en Monitoreo /Desempeño Bajo Evaluación Ex Post</t>
  </si>
  <si>
    <t>Apoyo a Personas en Situación de Calle - SSyOO</t>
  </si>
  <si>
    <t>Ministerio de Desarrollo Social y Familia</t>
  </si>
  <si>
    <t>Subsecretaría de Servicios Sociales</t>
  </si>
  <si>
    <t>Fondo de Desarrollo Indígena - Apoyo a Predios Adquiridos y Transferidos</t>
  </si>
  <si>
    <t>Corporación Nacional de Desarrollo Indígena</t>
  </si>
  <si>
    <t>Certificación de Discapacidad</t>
  </si>
  <si>
    <t>Subsecretaría de Salud Pública</t>
  </si>
  <si>
    <t>Programa Vacaciones en mi Jardín</t>
  </si>
  <si>
    <t>Innovación y Transferencia Técnica Territorial (Ex Innovación y Tecnología)</t>
  </si>
  <si>
    <t>Subsecretaría de Prevención del Delito</t>
  </si>
  <si>
    <t>Fortalecimiento de la Gestión Municipal</t>
  </si>
  <si>
    <t>Fondo de Desarrollo Indígena - Gestión Social Indígena</t>
  </si>
  <si>
    <t>Camas Socio Sanitarias</t>
  </si>
  <si>
    <t>Fondo de Mejoramiento Integral de Museos</t>
  </si>
  <si>
    <t>Mejoramiento Integral de Bibliotecas Públicas</t>
  </si>
  <si>
    <t>Museo Nacional de Bellas Artes - Museo Abierto</t>
  </si>
  <si>
    <t>Bibliomás (Ex Bibliometro)</t>
  </si>
  <si>
    <t>Programa para el Desarrollo de Capital Humano en el Sector Energía</t>
  </si>
  <si>
    <t>Ministerio de Energía</t>
  </si>
  <si>
    <t>Subsecretaría de Energía</t>
  </si>
  <si>
    <t>Certificación de Competencias Laborales</t>
  </si>
  <si>
    <t>Ministerio de Trabajo y Previsión Social</t>
  </si>
  <si>
    <t>Servicio Nacional de Capacitación y Empleo</t>
  </si>
  <si>
    <t>Desafíos de Innovación</t>
  </si>
  <si>
    <t>Mujer, Participación Política y Social</t>
  </si>
  <si>
    <t>Escuelas de Rock y Música Popular Chilena</t>
  </si>
  <si>
    <t>Subsecretaría de las Culturas y las Artes</t>
  </si>
  <si>
    <t>Apoyo a la Comercialización de Artesanías</t>
  </si>
  <si>
    <t>Comité de Desarrollo y Fomento Indígena</t>
  </si>
  <si>
    <t>Ministerio de Economía, Fomento y Turismo</t>
  </si>
  <si>
    <t>Corporación de Fomento de la Producción</t>
  </si>
  <si>
    <t>Fondo de Tierras y Aguas Indígenas - Preinversión</t>
  </si>
  <si>
    <t>Manejo y Protección del Patrimonio Cultural Indígena</t>
  </si>
  <si>
    <t>Biblioteca Pública Digital</t>
  </si>
  <si>
    <t>Programa de Recuperación Ambiental y Social (PRAS)</t>
  </si>
  <si>
    <t>Ministerio de Medio Ambiente</t>
  </si>
  <si>
    <t>Subsecretaría de Medio Ambiente</t>
  </si>
  <si>
    <t>Mejora a la empleabilidad para artesanos y artesanas tradicionales de zonas rurales</t>
  </si>
  <si>
    <t>Subsecretaría del Trabajo</t>
  </si>
  <si>
    <t>Chile Inclusivo: Desarrollo de Organizaciones Inclusivas</t>
  </si>
  <si>
    <t>Servicio Nacional de la Discapacidad</t>
  </si>
  <si>
    <t>Supuestos:</t>
  </si>
  <si>
    <t>Para el  Programa de Alimentación Escolar y el Programa de Extensión Horaria no consideran recorte de recursos.</t>
  </si>
  <si>
    <t>Para los programas del Ministerio de Vivienda y la para el programa Plan de Ingreso, Formación y Retención de Especialistas se considera un condicionamiento equivalente a un recorte del 30% del presupuesto.</t>
  </si>
  <si>
    <t>Ahorro potencial (Miles $ 2025)</t>
  </si>
  <si>
    <t>Criterios de Selección (Desempeño)</t>
  </si>
  <si>
    <t>i. Categoría de mal desempeño en evaluaciones ex post finalizadas en 2025. </t>
  </si>
  <si>
    <t>ii. Categorías de desempeño bajo en evaluaciones ex post finalizadas en 2025. </t>
  </si>
  <si>
    <r>
      <t xml:space="preserve">iii. Debilidades </t>
    </r>
    <r>
      <rPr>
        <b/>
        <sz val="11"/>
        <color rgb="FF000000"/>
        <rFont val="Aptos"/>
        <family val="2"/>
      </rPr>
      <t>reiteradas</t>
    </r>
    <r>
      <rPr>
        <sz val="11"/>
        <color rgb="FF000000"/>
        <rFont val="Aptos"/>
        <family val="2"/>
      </rPr>
      <t xml:space="preserve"> (tres años) en la dimensión de eficacia en los procesos de Monitoreo. Particularmente cuando no cuenten de manera reiterada con los atributos para medir resultados (propósito) o sus resultados sean persistentemente negativos. </t>
    </r>
  </si>
  <si>
    <t>ID_programa</t>
  </si>
  <si>
    <t>Nombre</t>
  </si>
  <si>
    <t>%_Gastos_admin</t>
  </si>
  <si>
    <t>% Cobertura PB/PO</t>
  </si>
  <si>
    <t>Promoción de Talentos en Escuelas y Liceos</t>
  </si>
  <si>
    <t>Subsecretaría de Educación</t>
  </si>
  <si>
    <t>Hogares Insulares V Región</t>
  </si>
  <si>
    <t>Beca de Apoyo a la Retención Escolar (Programa de Educación Media)</t>
  </si>
  <si>
    <t>Becas del Fondo de Cesantía Solidario (BFCS)</t>
  </si>
  <si>
    <t>Difusión y Fomento de las Culturas Indígenas</t>
  </si>
  <si>
    <t>Subsidio para la Formación de Personas Indígenas</t>
  </si>
  <si>
    <t>Bono de Graduación de Cuarto Medio</t>
  </si>
  <si>
    <t>Diálogo Social</t>
  </si>
  <si>
    <t>Educación Financiera</t>
  </si>
  <si>
    <t>Fondo de Solidaridad e Inversión Social</t>
  </si>
  <si>
    <t>Innova FOSIS</t>
  </si>
  <si>
    <t>Yo Trabajo - Apoyo a Tu Plan Laboral</t>
  </si>
  <si>
    <t>Buen Trato al Adulto Mayor</t>
  </si>
  <si>
    <t>Servicio Nacional del Adulto Mayor</t>
  </si>
  <si>
    <t>Apoyo a la Atención en Salud Mental</t>
  </si>
  <si>
    <t>Prevención en Espacios Laborales (Trabajar con Calidad de Vida)</t>
  </si>
  <si>
    <t>Servicio Nacional para la Prevención y Rehabilitación del Consumo de Drogas y Alcohol</t>
  </si>
  <si>
    <t>Programa Nacional de Prevención del Suicidio</t>
  </si>
  <si>
    <t>Beca de Continuidad de Estudios</t>
  </si>
  <si>
    <t>Beca Distinción a las Trayectorias Educativas (DTE) (Ex Beca Puntaje PSU)</t>
  </si>
  <si>
    <t>Fondo Solidario de Crédito Universitario (letra a Art. 71 bis Ley N° 18.591)</t>
  </si>
  <si>
    <t>Educación y Difusión</t>
  </si>
  <si>
    <t>Consejo Nacional de Protección a la Ancianidad (Conapran)</t>
  </si>
  <si>
    <t>Beca de Apoyo Vocación Profesor</t>
  </si>
  <si>
    <t>Kume Mognen Pu Zomo - Calidad de Vida y Autocuidado</t>
  </si>
  <si>
    <t>Dendroenergía</t>
  </si>
  <si>
    <t>Corporación Nacional Forestal</t>
  </si>
  <si>
    <t>Pasantía de Perfeccionamiento de Competencias Técnicas - Técnicos para Chile</t>
  </si>
  <si>
    <t>Simulacro amenaza volcánica</t>
  </si>
  <si>
    <t>Servicio Nacional de Prevención y Respuesta ante Desastres</t>
  </si>
  <si>
    <t>Acción Local</t>
  </si>
  <si>
    <t>Fondo del Reciclaje</t>
  </si>
  <si>
    <t>Fondo Concursable de Fomento a la Innovación en Educación Parvularia</t>
  </si>
  <si>
    <t>Residencia Familiar para Adolescencia Temprana de Administración Directa (RFT AADD)</t>
  </si>
  <si>
    <t>Servicio Nacional de Protección Especializada a la Niñez y Adolescencia</t>
  </si>
  <si>
    <t>Programa Piloto de Obesidad</t>
  </si>
  <si>
    <t>Plan Nacional de Escritura</t>
  </si>
  <si>
    <t>Sistema Nacional de Certificación Ambiental de Escuelas SNCAE</t>
  </si>
  <si>
    <t>Apreciación Musical</t>
  </si>
  <si>
    <t>Exportación de Servicios Culturales</t>
  </si>
  <si>
    <t>Registro de Monumentos Nacionales Arqueológicos y Paleontológicos</t>
  </si>
  <si>
    <t>Fondo de Desarrollo Indígena - Preinversión</t>
  </si>
  <si>
    <t>Fortalecimiento de la Política Consular - Migratoria y Especial de Responsabilidad Democrática</t>
  </si>
  <si>
    <t>Ministerio de Relaciones Exteriores</t>
  </si>
  <si>
    <t>Secretaría y Administración General y Servicio Exterior</t>
  </si>
  <si>
    <t>Programa Académico en Relaciones Internacionales</t>
  </si>
  <si>
    <t>Tesis Antárticas</t>
  </si>
  <si>
    <t>Instituto Antártico Chileno</t>
  </si>
  <si>
    <t>Digitaliza tu Pyme (Ex Pymes Digitales)</t>
  </si>
  <si>
    <t>Subsecretaria de Economía</t>
  </si>
  <si>
    <t>Activa Riego (ex Preinversión en Riego)</t>
  </si>
  <si>
    <t>Fomento a la Calidad</t>
  </si>
  <si>
    <t>REDES - Red Tecnologica Silvoagropecuaria GTT+</t>
  </si>
  <si>
    <t>Programa Acelera</t>
  </si>
  <si>
    <t>Comité de Innovación en el Sector Público (Laboratorio de Gobierno) - Red de Innovadores Públicos</t>
  </si>
  <si>
    <t>Ministerio de Hacienda</t>
  </si>
  <si>
    <t>Secretaría y Administración general</t>
  </si>
  <si>
    <t>Invierte</t>
  </si>
  <si>
    <t>Mejora Negocios, fondo de asesorías empresariales</t>
  </si>
  <si>
    <t>Servicio de Cooperación Técnica</t>
  </si>
  <si>
    <t>Súmate a Innovar</t>
  </si>
  <si>
    <t>Comité Innova Chile</t>
  </si>
  <si>
    <t>+Mujeres, Liderazgo en el sector público</t>
  </si>
  <si>
    <t>Dirección Nacional del Servicio Civil</t>
  </si>
  <si>
    <t>CAMPUS Servicio Civil</t>
  </si>
  <si>
    <t>Fondo de Publicaciones Científicas</t>
  </si>
  <si>
    <t>Agencia Chilena para la Inocuidad Alimentaria</t>
  </si>
  <si>
    <t>Subsecretaria de Agricultura</t>
  </si>
  <si>
    <t>S/I</t>
  </si>
  <si>
    <t>Programa de apoyo por medio de laboratorio arbitrador a la implementación de la Ley N° 20.656 que regula las transacciones de productos agropecuarios (Ex Apoyo a la Comercialización de Pequeños Productores de Trigo)</t>
  </si>
  <si>
    <t>Observatorio de Participación Ciudadana y No Discriminación</t>
  </si>
  <si>
    <t>Secretaría General de Gobierno</t>
  </si>
  <si>
    <t>Plan de Eficiencia Energética Sector Edificación</t>
  </si>
  <si>
    <t>Portal Único de Fondos Concursables del Estado</t>
  </si>
  <si>
    <t>Acción Autogestionada</t>
  </si>
  <si>
    <t>Conformación Social de los Archivos, la Memoria y el Patrimonio Documental en Chile</t>
  </si>
  <si>
    <t>Programa Fondo Concursable para las Organizaciones de Usuarios de Agua (OUA)</t>
  </si>
  <si>
    <t>Comisión Nacional de Riego</t>
  </si>
  <si>
    <t>Go Global</t>
  </si>
  <si>
    <t>Red Asociativa AGRO +</t>
  </si>
  <si>
    <t>Programa de Derechos Humanos de Víctimas de Violencia Institucional</t>
  </si>
  <si>
    <t>Ministerio de Justicia y Derechos Humanos</t>
  </si>
  <si>
    <t>Subsecretaría de Derechos Humanos</t>
  </si>
  <si>
    <t>Crédito Largo Plazo COBIN</t>
  </si>
  <si>
    <t>Instituto de Desarrollo Agropecuario</t>
  </si>
  <si>
    <t>Conservación de EspecieS</t>
  </si>
  <si>
    <t>Plan de Eficiencia Energética los Sectores Productivos</t>
  </si>
  <si>
    <t>Microbancos de Alimentos</t>
  </si>
  <si>
    <t>Mediación Penal Juvenil</t>
  </si>
  <si>
    <t>Servicio Nacional de Reinserción Social Juvenil</t>
  </si>
  <si>
    <t>Factoria Creativa</t>
  </si>
  <si>
    <t>Constitución, Registro, Fortalecimiento y Supervigilancia de Organizaciones de Usuarios</t>
  </si>
  <si>
    <t>Ministerio de Obras Públicas</t>
  </si>
  <si>
    <t>Dirección General de Aguas</t>
  </si>
  <si>
    <t>Observatorio de Datos Económicos</t>
  </si>
  <si>
    <t>Recuperación de Suelos con Potencial Presencia de Contaminantes</t>
  </si>
  <si>
    <t>Gestión para la Conservación de Humedales</t>
  </si>
  <si>
    <t>Programa de Inserción de Investigadores en el sector productivo</t>
  </si>
  <si>
    <t>Mi Primer Negocio Rural</t>
  </si>
  <si>
    <t>Impulsa Transición Tecnológica - Piloto</t>
  </si>
  <si>
    <t>Red de Fomento Sostenible - Piloto</t>
  </si>
  <si>
    <t>Excluye Programas seleccionados por mal desempeño</t>
  </si>
  <si>
    <t>Criterios de Selección (baja escala)</t>
  </si>
  <si>
    <t>i. Presupuestos anuales menores a MM$1.000 y baja cobertura (cantidad de beneficiarios menor o igual a 5% de la población objetivo del programa) </t>
  </si>
  <si>
    <t>ii. Presupuestos anuales menores a MM$1.000 y altos costos de administración (mayor o igual a 40% del gasto total del programa). </t>
  </si>
  <si>
    <t>Sub- Título</t>
  </si>
  <si>
    <t>Ítem</t>
  </si>
  <si>
    <t>Asig.</t>
  </si>
  <si>
    <t>Denominaciones</t>
  </si>
  <si>
    <t>Glosa N°</t>
  </si>
  <si>
    <t>Moneda Nacional Miles de $</t>
  </si>
  <si>
    <t/>
  </si>
  <si>
    <t>GASTOS</t>
  </si>
  <si>
    <t>27.863.242</t>
  </si>
  <si>
    <t>50% del subtítulo 24 se reasigna a otras instituciones para continuidad de programas que sean pertinentes</t>
  </si>
  <si>
    <t>21</t>
  </si>
  <si>
    <t>GASTOS EN PERSONAL</t>
  </si>
  <si>
    <t>02</t>
  </si>
  <si>
    <t>16.982.235</t>
  </si>
  <si>
    <t>50% sel subtítulo 21 (Personal) se reasigna a otras instituciones para seguir cumpliendo funciones que sean necesarias</t>
  </si>
  <si>
    <t>22</t>
  </si>
  <si>
    <t>BIENES Y SERVICIOS DE CONSUMO</t>
  </si>
  <si>
    <t>03</t>
  </si>
  <si>
    <t>3.291.861</t>
  </si>
  <si>
    <t>24</t>
  </si>
  <si>
    <t>TRANSFERENCIAS CORRIENTES</t>
  </si>
  <si>
    <t>12</t>
  </si>
  <si>
    <t>6.690.225</t>
  </si>
  <si>
    <t>01</t>
  </si>
  <si>
    <t>Al Sector Privado</t>
  </si>
  <si>
    <t>3.927.251</t>
  </si>
  <si>
    <t>316</t>
  </si>
  <si>
    <t>Fondo de Fomento de Medios  de Comunicación  Regionales , Provinciales y Comunales</t>
  </si>
  <si>
    <t>06, 11</t>
  </si>
  <si>
    <t>2.443.968</t>
  </si>
  <si>
    <t>318</t>
  </si>
  <si>
    <t>Fondo de Fortalecimiento  de Organizaciones y Asociaciones de Interés Público (Ley N 20.500)</t>
  </si>
  <si>
    <t>06, 07, 13</t>
  </si>
  <si>
    <t>1.483.283</t>
  </si>
  <si>
    <t>09</t>
  </si>
  <si>
    <t>A Unidades o Programas del Servicio</t>
  </si>
  <si>
    <t>04, 10, 16</t>
  </si>
  <si>
    <t>2.762.974</t>
  </si>
  <si>
    <t>313</t>
  </si>
  <si>
    <t>División  de Organizaciones Sociales</t>
  </si>
  <si>
    <t>05, 06</t>
  </si>
  <si>
    <t>939.429</t>
  </si>
  <si>
    <t>314</t>
  </si>
  <si>
    <t>Secretaría  de Comunicaciones</t>
  </si>
  <si>
    <t>400.000</t>
  </si>
  <si>
    <t>315</t>
  </si>
  <si>
    <t>Seguimiento de Políticas Públicas y Gestión Institucional</t>
  </si>
  <si>
    <t>06</t>
  </si>
  <si>
    <t>783.110</t>
  </si>
  <si>
    <t>Fondo de Fomento de Medios  de Comunicación Regionales Provinciales y Comunales</t>
  </si>
  <si>
    <t>212.520</t>
  </si>
  <si>
    <t>Fondo de Fortalecimiento  de Organizaciones  y Asociaciones de Interés  Público (Ley N°20.500)</t>
  </si>
  <si>
    <t>06, 07</t>
  </si>
  <si>
    <t>162.631</t>
  </si>
  <si>
    <t>319</t>
  </si>
  <si>
    <t>Observatorio de  Participación Ciudadana y No Discriminación</t>
  </si>
  <si>
    <t>15, 19</t>
  </si>
  <si>
    <t>158.166</t>
  </si>
  <si>
    <t>320</t>
  </si>
  <si>
    <t>Portlal Único de Fondos Concursables</t>
  </si>
  <si>
    <t>107.118</t>
  </si>
  <si>
    <t>25</t>
  </si>
  <si>
    <t>INTEGROS AL FISCO</t>
  </si>
  <si>
    <t>286.613</t>
  </si>
  <si>
    <t>99</t>
  </si>
  <si>
    <t>Otros Integros al Fisco</t>
  </si>
  <si>
    <t>29</t>
  </si>
  <si>
    <t>ADQUISICIÓN DE ACTIVOS NO FINANCIEROS</t>
  </si>
  <si>
    <t>308.873</t>
  </si>
  <si>
    <t>04</t>
  </si>
  <si>
    <t>Mobiliario y Otros</t>
  </si>
  <si>
    <t>8.428</t>
  </si>
  <si>
    <t>05</t>
  </si>
  <si>
    <t>Máquinas y Equipos</t>
  </si>
  <si>
    <t>13.640</t>
  </si>
  <si>
    <t>Equipos Informáticos</t>
  </si>
  <si>
    <t>4.376</t>
  </si>
  <si>
    <t>07</t>
  </si>
  <si>
    <t>Programas Informáticos</t>
  </si>
  <si>
    <t>282.429</t>
  </si>
  <si>
    <t>34</t>
  </si>
  <si>
    <t>SERVICIO DE LA DEUDA</t>
  </si>
  <si>
    <t>303.425</t>
  </si>
  <si>
    <t>Amortización Deuda Externa</t>
  </si>
  <si>
    <t>293.316</t>
  </si>
  <si>
    <t>Intereses Deuda Externa</t>
  </si>
  <si>
    <t>10.099</t>
  </si>
  <si>
    <t>Deuda Flotante</t>
  </si>
  <si>
    <t>10</t>
  </si>
  <si>
    <t>35</t>
  </si>
  <si>
    <t>SALDO FINAL DE CAJA</t>
  </si>
  <si>
    <t>9.367.399</t>
  </si>
  <si>
    <t>6.177.237</t>
  </si>
  <si>
    <t>25% sel subtítulo 21 (Personal) se reasigna a otras instituciones para seguir cumpliendo funciones que sean necesarias</t>
  </si>
  <si>
    <t>1.058.956</t>
  </si>
  <si>
    <t>23</t>
  </si>
  <si>
    <t>PRESTACIONES DE SEGURIDAD SOCIAL</t>
  </si>
  <si>
    <t>Prestaciones Sociales del Empleador</t>
  </si>
  <si>
    <t>2.057.090</t>
  </si>
  <si>
    <t>1.541.327</t>
  </si>
  <si>
    <t>011</t>
  </si>
  <si>
    <t>Programas de Desarrollo Juvenil Físico y Mental</t>
  </si>
  <si>
    <t>285.661</t>
  </si>
  <si>
    <t>014</t>
  </si>
  <si>
    <t>Programas de Desarrollo Juvenil Cívico y Social</t>
  </si>
  <si>
    <t>1.255.666</t>
  </si>
  <si>
    <t>515.763</t>
  </si>
  <si>
    <t>001</t>
  </si>
  <si>
    <t>Observatorio de Juventud</t>
  </si>
  <si>
    <t>08</t>
  </si>
  <si>
    <t>317.496</t>
  </si>
  <si>
    <t>002</t>
  </si>
  <si>
    <t>Chat Hablemos de Todo</t>
  </si>
  <si>
    <t>198.267</t>
  </si>
  <si>
    <t>74.086</t>
  </si>
  <si>
    <t>5.106</t>
  </si>
  <si>
    <t>68.980</t>
  </si>
  <si>
    <t>Transferencias Gobierno Central a PRODEMU (Ley de Presupuestos 2025)</t>
  </si>
  <si>
    <t>Transferencia Indap (miles $ 2025)</t>
  </si>
  <si>
    <t>Transferencia SernaMeg (miles $ 2025)</t>
  </si>
  <si>
    <t>TOTAL</t>
  </si>
  <si>
    <t>50% de los recursos se mantienen en INDAP y SERNAMEG para mantener oferta programática</t>
  </si>
  <si>
    <t>50% constituye ahorro (anual)</t>
  </si>
  <si>
    <t>SISTEMA DE REMUNERACIONES</t>
  </si>
  <si>
    <t>ESCALA ÚNICA DE SUELDOS, DECRETO LEY N° 249, DE 1973</t>
  </si>
  <si>
    <t>RÉGIMEN GENERAL - Referencial</t>
  </si>
  <si>
    <t>REMUNERACIONES MENSUALIZADAS DE CARÁCTER REFERENCIAL PARA CARGOS QUE NO SE RIGEN POR EL ARTÍCULO 38 BIS DE LA CONSTITUCIÓN</t>
  </si>
  <si>
    <t>AÑO 2025 -INCORPORA REAJUSTE DE  LEY  N° 21.724 ARTÍCULO 1°, DE   3%,  1,2% Y  0,64%</t>
  </si>
  <si>
    <t>GRADO</t>
  </si>
  <si>
    <t>Remuneración base</t>
  </si>
  <si>
    <t>INCREMENTO DL 3.501</t>
  </si>
  <si>
    <t>ASIGNACIÓN PROFESIONAL L19.185</t>
  </si>
  <si>
    <t>ASIGNACIÓN DE RESPONSABILIDAD SUPERIOR  DL N°1770/77</t>
  </si>
  <si>
    <t>GASTOS DE REPRESENTACIÓN DL N°773/74</t>
  </si>
  <si>
    <t>ASIGNACIÓN SUSTITUTIVA LEY N°19185</t>
  </si>
  <si>
    <t>BONIFICACIÓN L18.566</t>
  </si>
  <si>
    <t>BONIFICACIÓN L18.675 Art.10</t>
  </si>
  <si>
    <t>ASIGNACIÓN  L19.429</t>
  </si>
  <si>
    <t>ASIGNACIÓN DE MODERNIZACIÓN COMPONENTE BASE  LEY 19.553</t>
  </si>
  <si>
    <t>ASIGNACIÓN DE MODERNIZACIÓN INCREMENTO INSTITUCIONAL</t>
  </si>
  <si>
    <t>ASIGNACIÓN DE MODERNIZACIÓN INCREMENTO COLECTIVO</t>
  </si>
  <si>
    <t>BONIFICACIÓN Art.8 L19.553</t>
  </si>
  <si>
    <t>ASIGNACIÓN DIRECCIÓN SUPERIOR LEY N°19.863</t>
  </si>
  <si>
    <t>TOTAL REMUNERACIÓN BRUTA MENSUALIZADA</t>
  </si>
  <si>
    <t>REFERENCIA DE CARGOS DE AUTORIDADES DE GOBIERNO</t>
  </si>
  <si>
    <t>A</t>
  </si>
  <si>
    <t>B</t>
  </si>
  <si>
    <t>C</t>
  </si>
  <si>
    <t>1-A</t>
  </si>
  <si>
    <t xml:space="preserve">JEFE SUPERIOR DE SERVICIO QUE NO SE RIGEN POR EL ARTÍCULO 38 BIS DE LA CONSTITUCIÓN </t>
  </si>
  <si>
    <t>1-B</t>
  </si>
  <si>
    <t>1-C</t>
  </si>
  <si>
    <t xml:space="preserve">DIRECTIVO CON ASIGNACIÓN PROFESIONAL QUE NO SE RIGEN POR EL ARTÍCULO 38 BIS DE LA CONSTITUCIÓN </t>
  </si>
  <si>
    <t xml:space="preserve">DIRECTIVO SIN  ASIGNACIÓN PROFESIONAL QUE NO SE RIGEN POR EL ARTÍCULO 38 BIS DE LA CONSTITUCIÓN </t>
  </si>
  <si>
    <t>PROFESIONALES</t>
  </si>
  <si>
    <t>TÉCNICO SIN  ASIGNACIÓN PROFESIONAL</t>
  </si>
  <si>
    <t>TÉCNICO CON  ASIGNACIÓN PROFESIONAL</t>
  </si>
  <si>
    <t>ADMINISTRATIVO</t>
  </si>
  <si>
    <t>AUXILIARES</t>
  </si>
  <si>
    <t>Factor de Actualización  a $2025</t>
  </si>
  <si>
    <r>
      <rPr>
        <b/>
        <sz val="8"/>
        <color theme="1"/>
        <rFont val="Aptos Narrow"/>
        <family val="2"/>
        <scheme val="minor"/>
      </rPr>
      <t>Fuente</t>
    </r>
    <r>
      <rPr>
        <sz val="8"/>
        <color theme="1"/>
        <rFont val="Aptos Narrow"/>
        <family val="2"/>
        <scheme val="minor"/>
      </rPr>
      <t>: Informe de Finanzas Públicas 1T 2025</t>
    </r>
  </si>
  <si>
    <t>Sobregasto 2023 (MM$2025)</t>
  </si>
  <si>
    <t>Promedio</t>
  </si>
  <si>
    <t>*Para el año 2024 la dotación en el estamento administrativo tuvo un incremento transitorio extraordinario producto del CENSO</t>
  </si>
  <si>
    <t>Ley 18.834</t>
  </si>
  <si>
    <t>Ley 15.076</t>
  </si>
  <si>
    <t>Ley 19.664</t>
  </si>
  <si>
    <t>Estimación puesta en marcha 2026 según estamento</t>
  </si>
  <si>
    <t>Sobregasto Corriente (M $ nominal)</t>
  </si>
  <si>
    <t>Sobregasto Corriente (M $ 2025)</t>
  </si>
  <si>
    <t>Objetivo cierre de 1/3 de brecha (PS - SLEP)</t>
  </si>
  <si>
    <t>Total Haberes + Aporte Patronales AA.EE Año 2024 ($ de 2025) (promedio funciones auxiliar, profesional y paradocente)</t>
  </si>
  <si>
    <t>AAEE Año 2024</t>
  </si>
  <si>
    <t>Matrícula Total 2024</t>
  </si>
  <si>
    <t>(*) Elaboración propia a partir de BBDD Centro de Estudios Mineduc</t>
  </si>
  <si>
    <t>Cierre brecha SLEP</t>
  </si>
  <si>
    <t>Cierre brecha municipal (MM $ 2025)</t>
  </si>
  <si>
    <t>Mejorar la focalización socioeconómica de los beneficios estudiantiles en Educación Superior</t>
  </si>
  <si>
    <t>Evaluar incorporar el criterio de edad en la asignación de gratuidad</t>
  </si>
  <si>
    <t>Modificar el mecanismo de expansión de la gratuidad en educación superior</t>
  </si>
  <si>
    <t>Fortalecer la gestión hospitalaria y la eficiencia operativa del sistema público de salud</t>
  </si>
  <si>
    <t>Suspender temporalmente las expansiones automáticas de cobertura o indexaciones automáticas a los valores unitarios de ciertos beneficios</t>
  </si>
  <si>
    <t> Reducir la flexibilidad otorgada en el actual artículo 4° de la Ley de Presupuestos del Sector Público que permite aumentar el nivel del gasto aprobado en la ley. </t>
  </si>
  <si>
    <t>Congelar el personal de dotación y fuera de dotación a nivel de 2025</t>
  </si>
  <si>
    <t>Mantener remuneraciones en valores nominales 2025</t>
  </si>
  <si>
    <t>Sostenibilidad financiera de los Servicios Locales de Educación Pública (SLEP)</t>
  </si>
  <si>
    <t>Fortalecer el control sobre el uso del Subsidio por Incapacidad Laboral (SIL)</t>
  </si>
  <si>
    <t> Racionalización de la oferta programática mediante la discontinuidad de programas públicos que presentan un desempeño insatisfactorio en su modalidad actual</t>
  </si>
  <si>
    <t> Racionalización de la oferta programática a través de discontinuar o fusionar programas públicos de baja escala</t>
  </si>
  <si>
    <t>Reubicar funciones del Ministerio Secretaría General de Gobierno debido a la nueva institucionalidad del Ministerio del Interior como coordinador del Gobierno </t>
  </si>
  <si>
    <t>Revisar continuidad de Servicios Públicos para evitar traslapes y fragmentación: INJUV</t>
  </si>
  <si>
    <t>Revisar continuidad de Servicios Públicos para evitar traslapes y fragmentación: Fundación PRODEMU</t>
  </si>
  <si>
    <t xml:space="preserve">Motivo </t>
  </si>
  <si>
    <t>N docentes y AAEE en SLEP traspasados</t>
  </si>
  <si>
    <t xml:space="preserve">Realizar un ajuste del 40% de la dotación indicada </t>
  </si>
  <si>
    <t>Parte de la diferencia entre presupuesto inicial y vigente se destina a fines distintos a los de la Provisión.</t>
  </si>
  <si>
    <t>Estimación impacto financiero de la evasión 2025 (sólo bus)</t>
  </si>
  <si>
    <t>Supuesto de la evasión en un 50%</t>
  </si>
  <si>
    <t>Proyección Variación IPC 2026 (%)</t>
  </si>
  <si>
    <r>
      <rPr>
        <b/>
        <sz val="8"/>
        <color theme="1"/>
        <rFont val="Aptos Narrow"/>
        <family val="2"/>
        <scheme val="minor"/>
      </rPr>
      <t>Fuente:</t>
    </r>
    <r>
      <rPr>
        <sz val="8"/>
        <color theme="1"/>
        <rFont val="Aptos Narrow"/>
        <family val="2"/>
        <scheme val="minor"/>
      </rPr>
      <t xml:space="preserve"> Estimación propia en base a</t>
    </r>
  </si>
  <si>
    <t>Para todo el resto de los programas se considera el total de los recursos como potencial reducción.</t>
  </si>
  <si>
    <t>Considera el total del recursos de los programas seleccionados</t>
  </si>
  <si>
    <r>
      <rPr>
        <b/>
        <sz val="10"/>
        <color theme="1"/>
        <rFont val="Aptos Narrow"/>
        <family val="2"/>
        <scheme val="minor"/>
      </rPr>
      <t>Fuente:</t>
    </r>
    <r>
      <rPr>
        <sz val="10"/>
        <color theme="1"/>
        <rFont val="Aptos Narrow"/>
        <family val="2"/>
        <scheme val="minor"/>
      </rPr>
      <t xml:space="preserve"> Dipres-SES. Monitoreo de programas 2024.</t>
    </r>
  </si>
  <si>
    <r>
      <t xml:space="preserve">Fuente: </t>
    </r>
    <r>
      <rPr>
        <sz val="10"/>
        <color theme="1"/>
        <rFont val="Aptos Narrow"/>
        <family val="2"/>
        <scheme val="minor"/>
      </rPr>
      <t>Dipres-SES. Monitoreo de programas 2022-2024.</t>
    </r>
  </si>
  <si>
    <t>Subsidio Transitorio - Transantiago</t>
  </si>
  <si>
    <t>Subsidio Transporte Público - Transantiago</t>
  </si>
  <si>
    <t>Subsidio Especial Adicional - Transantiago</t>
  </si>
  <si>
    <t>Total Subsidio</t>
  </si>
  <si>
    <t>Ejecución 2024 Subsidio</t>
  </si>
  <si>
    <r>
      <t xml:space="preserve">Nota: </t>
    </r>
    <r>
      <rPr>
        <sz val="8"/>
        <color theme="1"/>
        <rFont val="Aptos Narrow"/>
        <family val="2"/>
        <scheme val="minor"/>
      </rPr>
      <t>Elaboración propia en base a supuesto de 20%</t>
    </r>
  </si>
  <si>
    <t>Pago intereses promedio anual (MM$)</t>
  </si>
  <si>
    <t>Suspensión de los incisos 1° y 2° del artículo 101 de la Ley Orgánica Constitucional de las Fuerzas Armadas</t>
  </si>
  <si>
    <t>Promover prácticas de compras eficientes y fortalecer los procesos de transparencia en los procesos de compra pública</t>
  </si>
  <si>
    <t>Estimación nueva dotación por puesta en marcha 2026 nuevos hospitales</t>
  </si>
  <si>
    <t>Total Subsidio restando evasión estimada</t>
  </si>
  <si>
    <r>
      <rPr>
        <b/>
        <sz val="10"/>
        <color theme="1"/>
        <rFont val="Aptos Narrow"/>
        <family val="2"/>
        <scheme val="minor"/>
      </rPr>
      <t>Fuente:</t>
    </r>
    <r>
      <rPr>
        <sz val="10"/>
        <color theme="1"/>
        <rFont val="Aptos Narrow"/>
        <family val="2"/>
        <scheme val="minor"/>
      </rPr>
      <t xml:space="preserve"> ChileCompra. https://www.chilecompra.cl/2025/06/montos-transados-en-la-plataforma-mercado-publico-superaron-los-us-17-643-millones-en-2024/?utm_source=chatgpt.com</t>
    </r>
  </si>
  <si>
    <r>
      <t>Fuente:</t>
    </r>
    <r>
      <rPr>
        <sz val="8"/>
        <color theme="1"/>
        <rFont val="Aptos Narrow"/>
        <family val="2"/>
        <scheme val="minor"/>
      </rPr>
      <t xml:space="preserve"> Informe Trimestral de Recursos Humanos del Sector Público. Dipres.</t>
    </r>
  </si>
  <si>
    <r>
      <rPr>
        <b/>
        <sz val="8"/>
        <color theme="1"/>
        <rFont val="Aptos Narrow"/>
        <family val="2"/>
        <scheme val="minor"/>
      </rPr>
      <t>Fuente:</t>
    </r>
    <r>
      <rPr>
        <sz val="8"/>
        <color theme="1"/>
        <rFont val="Aptos Narrow"/>
        <family val="2"/>
        <scheme val="minor"/>
      </rPr>
      <t xml:space="preserve"> Ley de Presupuestos 2025</t>
    </r>
  </si>
  <si>
    <t xml:space="preserve">Total medidas </t>
  </si>
  <si>
    <t>Total medidas más fondo espejo</t>
  </si>
  <si>
    <t>Presupuesto Segegob 2025</t>
  </si>
  <si>
    <t>FACILITAR PAGOS, REDUCIR EVASIÓN Y FORTALECER INGRESOS EN EL TRANSPORTE PÚBLICO METROPOLITANO</t>
  </si>
  <si>
    <t>Presupuesto INJUV 2025</t>
  </si>
  <si>
    <t>Ahorro potencial (miles $ 2025)</t>
  </si>
  <si>
    <r>
      <rPr>
        <b/>
        <sz val="8"/>
        <color theme="1"/>
        <rFont val="Aptos Narrow"/>
        <family val="2"/>
        <scheme val="minor"/>
      </rPr>
      <t>Fuente</t>
    </r>
    <r>
      <rPr>
        <sz val="8"/>
        <color theme="1"/>
        <rFont val="Aptos Narrow"/>
        <family val="2"/>
        <scheme val="minor"/>
      </rPr>
      <t>:Informe de Finanzas Públicas 2 Trimestre 2025</t>
    </r>
  </si>
  <si>
    <r>
      <rPr>
        <b/>
        <sz val="9"/>
        <color rgb="FF000000"/>
        <rFont val="Aptos Narrow"/>
        <family val="2"/>
      </rPr>
      <t>Fuente:</t>
    </r>
    <r>
      <rPr>
        <sz val="9"/>
        <color rgb="FF000000"/>
        <rFont val="Aptos Narrow"/>
        <family val="2"/>
      </rPr>
      <t xml:space="preserve"> Datos Dipres en base a Seguro de Cesantía y SUSESO</t>
    </r>
  </si>
  <si>
    <t>M$</t>
  </si>
  <si>
    <t>Ajuste plan operativo (2%)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</si>
</sst>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;[Red]&quot;$&quot;\-#,##0"/>
    <numFmt numFmtId="8" formatCode="&quot;$&quot;#,##0.00;[Red]&quot;$&quot;\-#,##0.00"/>
    <numFmt numFmtId="42" formatCode="_ &quot;$&quot;* #,##0_ ;_ &quot;$&quot;* \-#,##0_ ;_ &quot;$&quot;* &quot;-&quot;_ ;_ @_ "/>
    <numFmt numFmtId="41" formatCode="_ * #,##0_ ;_ * \-#,##0_ ;_ * &quot;-&quot;_ ;_ @_ "/>
    <numFmt numFmtId="164" formatCode="mmm\.yyyy"/>
    <numFmt numFmtId="165" formatCode="0.00000"/>
    <numFmt numFmtId="166" formatCode="0.0%"/>
    <numFmt numFmtId="167" formatCode="_ * #,##0_ ;_ * \-#,##0_ ;_ * &quot;-&quot;??_ ;_ @_ "/>
    <numFmt numFmtId="168" formatCode="_ * #,##0_ ;_ * \-#,##0_ ;_ * &quot;-&quot;?????_ ;_ @_ "/>
    <numFmt numFmtId="169" formatCode="&quot;$&quot;#,##0"/>
    <numFmt numFmtId="170" formatCode="0.0"/>
  </numFmts>
  <fonts count="4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2F5597"/>
      <name val="Arial Black"/>
      <family val="2"/>
    </font>
    <font>
      <sz val="12"/>
      <color rgb="FF2F5597"/>
      <name val="Arial Black"/>
      <family val="2"/>
    </font>
    <font>
      <sz val="12"/>
      <color theme="1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b/>
      <sz val="12"/>
      <name val="Aptos Display"/>
      <family val="2"/>
      <scheme val="major"/>
    </font>
    <font>
      <b/>
      <sz val="12"/>
      <name val="Arial"/>
      <family val="2"/>
    </font>
    <font>
      <b/>
      <sz val="20"/>
      <name val="Arial"/>
      <family val="2"/>
    </font>
    <font>
      <sz val="12"/>
      <name val="Arial Narrow"/>
      <family val="2"/>
    </font>
    <font>
      <b/>
      <sz val="10"/>
      <color theme="3"/>
      <name val="Aptos Narrow"/>
      <family val="2"/>
      <scheme val="minor"/>
    </font>
    <font>
      <b/>
      <i/>
      <sz val="10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Calibri"/>
      <family val="2"/>
    </font>
    <font>
      <sz val="11"/>
      <color rgb="FF000000"/>
      <name val="Aptos"/>
      <family val="2"/>
    </font>
    <font>
      <b/>
      <sz val="11"/>
      <color rgb="FF000000"/>
      <name val="Aptos"/>
      <family val="2"/>
    </font>
    <font>
      <b/>
      <sz val="10"/>
      <color rgb="FF000000"/>
      <name val="Aptos"/>
      <family val="2"/>
    </font>
    <font>
      <sz val="8"/>
      <color rgb="FF706F6F"/>
      <name val="Helvetica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rgb="FF000000"/>
      <name val="Times New Roman"/>
      <family val="1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2"/>
      <color theme="1"/>
      <name val="Aptos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9"/>
      <color rgb="FF000000"/>
      <name val="Aptos Narrow"/>
      <family val="2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9"/>
      <color rgb="FF000000"/>
      <name val="Aptos Narrow"/>
      <family val="2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0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2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2" tint="-0.2499465926084170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42" fontId="1" fillId="0" borderId="0" applyFont="0" applyFill="0" applyBorder="0" applyAlignment="0" applyProtection="0"/>
  </cellStyleXfs>
  <cellXfs count="200">
    <xf numFmtId="0" fontId="0" fillId="0" borderId="0" xfId="0"/>
    <xf numFmtId="0" fontId="0" fillId="2" borderId="0" xfId="0" applyFill="1"/>
    <xf numFmtId="0" fontId="0" fillId="2" borderId="1" xfId="0" applyFill="1" applyBorder="1"/>
    <xf numFmtId="3" fontId="0" fillId="2" borderId="1" xfId="0" applyNumberForma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5" fillId="5" borderId="3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top" wrapText="1"/>
    </xf>
    <xf numFmtId="0" fontId="5" fillId="5" borderId="5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right" vertical="top" wrapText="1"/>
    </xf>
    <xf numFmtId="0" fontId="5" fillId="5" borderId="6" xfId="0" applyFont="1" applyFill="1" applyBorder="1" applyAlignment="1">
      <alignment horizontal="right" vertical="top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5" fillId="5" borderId="6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right" vertical="top" wrapText="1"/>
    </xf>
    <xf numFmtId="0" fontId="5" fillId="5" borderId="8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1" fontId="3" fillId="0" borderId="1" xfId="1" applyFont="1" applyBorder="1"/>
    <xf numFmtId="41" fontId="0" fillId="2" borderId="1" xfId="1" applyFont="1" applyFill="1" applyBorder="1"/>
    <xf numFmtId="41" fontId="0" fillId="2" borderId="1" xfId="0" applyNumberFormat="1" applyFill="1" applyBorder="1"/>
    <xf numFmtId="3" fontId="0" fillId="0" borderId="0" xfId="0" applyNumberFormat="1"/>
    <xf numFmtId="164" fontId="7" fillId="6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3" fontId="13" fillId="0" borderId="0" xfId="4" applyNumberFormat="1" applyFont="1" applyFill="1" applyAlignment="1" applyProtection="1">
      <alignment horizontal="left"/>
      <protection locked="0"/>
    </xf>
    <xf numFmtId="3" fontId="13" fillId="2" borderId="0" xfId="4" applyNumberFormat="1" applyFont="1" applyFill="1" applyAlignment="1" applyProtection="1">
      <alignment horizontal="center"/>
      <protection locked="0"/>
    </xf>
    <xf numFmtId="3" fontId="14" fillId="2" borderId="0" xfId="0" applyNumberFormat="1" applyFont="1" applyFill="1" applyAlignment="1" applyProtection="1">
      <alignment horizontal="center"/>
      <protection locked="0"/>
    </xf>
    <xf numFmtId="166" fontId="14" fillId="2" borderId="0" xfId="0" applyNumberFormat="1" applyFont="1" applyFill="1" applyAlignment="1" applyProtection="1">
      <alignment horizontal="center"/>
      <protection locked="0"/>
    </xf>
    <xf numFmtId="3" fontId="15" fillId="2" borderId="0" xfId="0" applyNumberFormat="1" applyFont="1" applyFill="1" applyAlignment="1" applyProtection="1">
      <alignment horizontal="center"/>
      <protection locked="0"/>
    </xf>
    <xf numFmtId="166" fontId="15" fillId="2" borderId="0" xfId="0" applyNumberFormat="1" applyFont="1" applyFill="1" applyAlignment="1" applyProtection="1">
      <alignment horizontal="center"/>
      <protection locked="0"/>
    </xf>
    <xf numFmtId="166" fontId="0" fillId="2" borderId="0" xfId="0" applyNumberFormat="1" applyFill="1"/>
    <xf numFmtId="0" fontId="17" fillId="7" borderId="10" xfId="5" applyFont="1" applyFill="1" applyBorder="1" applyAlignment="1">
      <alignment horizontal="center" vertical="center" wrapText="1"/>
    </xf>
    <xf numFmtId="0" fontId="18" fillId="8" borderId="10" xfId="5" quotePrefix="1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left"/>
    </xf>
    <xf numFmtId="3" fontId="0" fillId="0" borderId="13" xfId="0" applyNumberFormat="1" applyBorder="1"/>
    <xf numFmtId="9" fontId="0" fillId="0" borderId="13" xfId="3" applyFont="1" applyBorder="1"/>
    <xf numFmtId="166" fontId="0" fillId="0" borderId="13" xfId="3" applyNumberFormat="1" applyFont="1" applyBorder="1"/>
    <xf numFmtId="3" fontId="3" fillId="0" borderId="13" xfId="0" applyNumberFormat="1" applyFont="1" applyBorder="1"/>
    <xf numFmtId="3" fontId="0" fillId="0" borderId="13" xfId="0" applyNumberFormat="1" applyBorder="1" applyAlignment="1">
      <alignment horizontal="center"/>
    </xf>
    <xf numFmtId="10" fontId="0" fillId="0" borderId="0" xfId="3" applyNumberFormat="1" applyFont="1"/>
    <xf numFmtId="3" fontId="0" fillId="0" borderId="0" xfId="0" applyNumberFormat="1" applyAlignment="1">
      <alignment horizontal="center"/>
    </xf>
    <xf numFmtId="9" fontId="0" fillId="0" borderId="0" xfId="3" applyFont="1" applyBorder="1"/>
    <xf numFmtId="166" fontId="0" fillId="0" borderId="0" xfId="3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66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41" fontId="0" fillId="0" borderId="1" xfId="1" applyFont="1" applyBorder="1"/>
    <xf numFmtId="41" fontId="0" fillId="0" borderId="0" xfId="1" applyFont="1" applyBorder="1"/>
    <xf numFmtId="41" fontId="3" fillId="0" borderId="0" xfId="1" applyFont="1" applyBorder="1"/>
    <xf numFmtId="166" fontId="0" fillId="0" borderId="1" xfId="3" applyNumberFormat="1" applyFont="1" applyBorder="1"/>
    <xf numFmtId="166" fontId="0" fillId="0" borderId="1" xfId="3" applyNumberFormat="1" applyFont="1" applyBorder="1" applyAlignment="1">
      <alignment horizontal="center"/>
    </xf>
    <xf numFmtId="166" fontId="3" fillId="0" borderId="1" xfId="3" applyNumberFormat="1" applyFont="1" applyBorder="1"/>
    <xf numFmtId="166" fontId="3" fillId="0" borderId="1" xfId="3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9" borderId="1" xfId="0" applyFill="1" applyBorder="1"/>
    <xf numFmtId="41" fontId="3" fillId="9" borderId="1" xfId="1" applyFont="1" applyFill="1" applyBorder="1"/>
    <xf numFmtId="0" fontId="19" fillId="0" borderId="0" xfId="0" applyFont="1"/>
    <xf numFmtId="0" fontId="7" fillId="10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42" fontId="20" fillId="0" borderId="1" xfId="6" applyFont="1" applyBorder="1"/>
    <xf numFmtId="9" fontId="20" fillId="0" borderId="1" xfId="3" applyFont="1" applyBorder="1"/>
    <xf numFmtId="9" fontId="20" fillId="0" borderId="1" xfId="3" applyFont="1" applyBorder="1" applyAlignment="1">
      <alignment horizontal="right"/>
    </xf>
    <xf numFmtId="0" fontId="23" fillId="0" borderId="0" xfId="0" applyFont="1"/>
    <xf numFmtId="168" fontId="0" fillId="0" borderId="0" xfId="0" applyNumberFormat="1"/>
    <xf numFmtId="169" fontId="0" fillId="0" borderId="0" xfId="0" applyNumberFormat="1"/>
    <xf numFmtId="3" fontId="24" fillId="0" borderId="0" xfId="0" applyNumberFormat="1" applyFont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6" fontId="25" fillId="0" borderId="1" xfId="0" applyNumberFormat="1" applyFont="1" applyBorder="1" applyAlignment="1">
      <alignment horizontal="center" vertical="center"/>
    </xf>
    <xf numFmtId="41" fontId="0" fillId="0" borderId="16" xfId="1" applyFont="1" applyBorder="1"/>
    <xf numFmtId="168" fontId="0" fillId="0" borderId="16" xfId="0" applyNumberFormat="1" applyBorder="1"/>
    <xf numFmtId="164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2" fillId="0" borderId="14" xfId="0" applyFont="1" applyBorder="1"/>
    <xf numFmtId="3" fontId="0" fillId="2" borderId="19" xfId="0" applyNumberFormat="1" applyFill="1" applyBorder="1"/>
    <xf numFmtId="41" fontId="0" fillId="2" borderId="19" xfId="0" applyNumberFormat="1" applyFill="1" applyBorder="1"/>
    <xf numFmtId="0" fontId="0" fillId="2" borderId="18" xfId="0" applyFill="1" applyBorder="1"/>
    <xf numFmtId="3" fontId="0" fillId="0" borderId="17" xfId="0" applyNumberFormat="1" applyBorder="1"/>
    <xf numFmtId="41" fontId="0" fillId="0" borderId="17" xfId="0" applyNumberFormat="1" applyBorder="1"/>
    <xf numFmtId="0" fontId="2" fillId="3" borderId="19" xfId="0" applyFont="1" applyFill="1" applyBorder="1"/>
    <xf numFmtId="0" fontId="2" fillId="4" borderId="18" xfId="0" applyFont="1" applyFill="1" applyBorder="1"/>
    <xf numFmtId="41" fontId="1" fillId="2" borderId="1" xfId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1" fontId="0" fillId="0" borderId="15" xfId="1" applyFont="1" applyBorder="1"/>
    <xf numFmtId="168" fontId="0" fillId="0" borderId="15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9" fontId="0" fillId="0" borderId="1" xfId="0" applyNumberFormat="1" applyBorder="1"/>
    <xf numFmtId="0" fontId="28" fillId="0" borderId="0" xfId="0" applyFont="1"/>
    <xf numFmtId="169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/>
    <xf numFmtId="0" fontId="30" fillId="0" borderId="0" xfId="0" applyFont="1" applyAlignment="1">
      <alignment vertical="center" wrapText="1"/>
    </xf>
    <xf numFmtId="0" fontId="28" fillId="0" borderId="0" xfId="0" applyFont="1" applyAlignment="1">
      <alignment horizontal="left"/>
    </xf>
    <xf numFmtId="3" fontId="0" fillId="0" borderId="1" xfId="0" applyNumberFormat="1" applyBorder="1"/>
    <xf numFmtId="169" fontId="0" fillId="0" borderId="1" xfId="6" applyNumberFormat="1" applyFont="1" applyBorder="1"/>
    <xf numFmtId="3" fontId="0" fillId="0" borderId="1" xfId="0" applyNumberFormat="1" applyBorder="1" applyAlignment="1">
      <alignment horizontal="center"/>
    </xf>
    <xf numFmtId="10" fontId="3" fillId="0" borderId="1" xfId="0" applyNumberFormat="1" applyFont="1" applyBorder="1"/>
    <xf numFmtId="0" fontId="0" fillId="0" borderId="1" xfId="0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0" fontId="0" fillId="0" borderId="21" xfId="0" applyNumberFormat="1" applyBorder="1" applyAlignment="1">
      <alignment horizontal="center" vertical="center" wrapText="1"/>
    </xf>
    <xf numFmtId="10" fontId="3" fillId="0" borderId="2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0" fillId="0" borderId="15" xfId="0" applyBorder="1"/>
    <xf numFmtId="0" fontId="3" fillId="0" borderId="15" xfId="0" applyFont="1" applyBorder="1"/>
    <xf numFmtId="0" fontId="0" fillId="0" borderId="16" xfId="0" applyBorder="1"/>
    <xf numFmtId="0" fontId="3" fillId="0" borderId="16" xfId="0" applyFont="1" applyBorder="1"/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5" fontId="0" fillId="0" borderId="1" xfId="0" applyNumberFormat="1" applyBorder="1"/>
    <xf numFmtId="0" fontId="25" fillId="0" borderId="0" xfId="0" applyFont="1"/>
    <xf numFmtId="0" fontId="33" fillId="0" borderId="0" xfId="0" applyFont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3" fontId="36" fillId="0" borderId="1" xfId="0" applyNumberFormat="1" applyFont="1" applyBorder="1" applyAlignment="1">
      <alignment horizontal="center" vertical="center"/>
    </xf>
    <xf numFmtId="169" fontId="3" fillId="0" borderId="0" xfId="0" applyNumberFormat="1" applyFont="1"/>
    <xf numFmtId="169" fontId="36" fillId="0" borderId="1" xfId="0" applyNumberFormat="1" applyFont="1" applyBorder="1" applyAlignment="1">
      <alignment horizontal="center" vertical="center"/>
    </xf>
    <xf numFmtId="170" fontId="36" fillId="0" borderId="1" xfId="0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0" xfId="0" applyNumberFormat="1"/>
    <xf numFmtId="1" fontId="0" fillId="0" borderId="1" xfId="0" applyNumberFormat="1" applyBorder="1"/>
    <xf numFmtId="1" fontId="3" fillId="0" borderId="1" xfId="0" applyNumberFormat="1" applyFont="1" applyBorder="1"/>
    <xf numFmtId="9" fontId="0" fillId="0" borderId="0" xfId="3" applyFont="1" applyFill="1"/>
    <xf numFmtId="41" fontId="0" fillId="0" borderId="1" xfId="0" applyNumberFormat="1" applyBorder="1"/>
    <xf numFmtId="167" fontId="0" fillId="0" borderId="1" xfId="0" applyNumberFormat="1" applyBorder="1"/>
    <xf numFmtId="0" fontId="40" fillId="0" borderId="1" xfId="0" applyFont="1" applyBorder="1"/>
    <xf numFmtId="8" fontId="40" fillId="0" borderId="1" xfId="0" applyNumberFormat="1" applyFont="1" applyBorder="1"/>
    <xf numFmtId="6" fontId="40" fillId="0" borderId="1" xfId="0" applyNumberFormat="1" applyFont="1" applyBorder="1"/>
    <xf numFmtId="4" fontId="0" fillId="0" borderId="1" xfId="0" applyNumberFormat="1" applyBorder="1"/>
    <xf numFmtId="2" fontId="25" fillId="0" borderId="0" xfId="0" applyNumberFormat="1" applyFont="1"/>
    <xf numFmtId="3" fontId="41" fillId="0" borderId="0" xfId="0" applyNumberFormat="1" applyFont="1"/>
    <xf numFmtId="0" fontId="42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/>
    <xf numFmtId="0" fontId="3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6" fontId="0" fillId="0" borderId="0" xfId="0" applyNumberFormat="1"/>
    <xf numFmtId="168" fontId="3" fillId="0" borderId="16" xfId="0" applyNumberFormat="1" applyFont="1" applyBorder="1"/>
    <xf numFmtId="6" fontId="27" fillId="0" borderId="1" xfId="0" applyNumberFormat="1" applyFont="1" applyBorder="1"/>
    <xf numFmtId="41" fontId="3" fillId="2" borderId="1" xfId="0" applyNumberFormat="1" applyFont="1" applyFill="1" applyBorder="1"/>
    <xf numFmtId="0" fontId="0" fillId="0" borderId="19" xfId="0" applyBorder="1" applyAlignment="1">
      <alignment horizontal="center"/>
    </xf>
    <xf numFmtId="169" fontId="0" fillId="0" borderId="19" xfId="0" applyNumberForma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vertical="center"/>
    </xf>
    <xf numFmtId="41" fontId="0" fillId="0" borderId="1" xfId="1" applyFont="1" applyFill="1" applyBorder="1"/>
    <xf numFmtId="0" fontId="0" fillId="0" borderId="19" xfId="0" applyBorder="1"/>
    <xf numFmtId="170" fontId="0" fillId="0" borderId="0" xfId="3" applyNumberFormat="1" applyFont="1" applyBorder="1"/>
    <xf numFmtId="0" fontId="43" fillId="0" borderId="0" xfId="0" applyFont="1"/>
    <xf numFmtId="0" fontId="7" fillId="2" borderId="0" xfId="0" applyFont="1" applyFill="1"/>
    <xf numFmtId="0" fontId="0" fillId="0" borderId="0" xfId="0" applyAlignment="1">
      <alignment vertical="center"/>
    </xf>
    <xf numFmtId="0" fontId="27" fillId="0" borderId="0" xfId="0" applyFont="1"/>
    <xf numFmtId="0" fontId="40" fillId="0" borderId="0" xfId="0" applyFont="1"/>
    <xf numFmtId="0" fontId="3" fillId="0" borderId="19" xfId="0" applyFont="1" applyBorder="1"/>
    <xf numFmtId="0" fontId="39" fillId="0" borderId="0" xfId="0" applyFont="1"/>
    <xf numFmtId="41" fontId="3" fillId="0" borderId="19" xfId="1" applyFont="1" applyBorder="1"/>
    <xf numFmtId="41" fontId="0" fillId="0" borderId="15" xfId="1" applyFont="1" applyFill="1" applyBorder="1"/>
    <xf numFmtId="1" fontId="0" fillId="0" borderId="1" xfId="0" applyNumberFormat="1" applyBorder="1" applyAlignment="1">
      <alignment horizontal="center" vertical="center"/>
    </xf>
    <xf numFmtId="170" fontId="36" fillId="0" borderId="19" xfId="0" applyNumberFormat="1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3" fontId="36" fillId="0" borderId="19" xfId="0" applyNumberFormat="1" applyFont="1" applyBorder="1" applyAlignment="1">
      <alignment horizontal="center" vertical="center"/>
    </xf>
    <xf numFmtId="169" fontId="36" fillId="0" borderId="19" xfId="0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right"/>
    </xf>
    <xf numFmtId="169" fontId="0" fillId="0" borderId="19" xfId="0" applyNumberFormat="1" applyBorder="1" applyAlignment="1">
      <alignment horizontal="right"/>
    </xf>
    <xf numFmtId="169" fontId="0" fillId="0" borderId="0" xfId="0" applyNumberFormat="1" applyAlignment="1">
      <alignment horizontal="right"/>
    </xf>
    <xf numFmtId="169" fontId="3" fillId="0" borderId="1" xfId="0" applyNumberFormat="1" applyFont="1" applyBorder="1" applyAlignment="1">
      <alignment horizontal="right"/>
    </xf>
    <xf numFmtId="0" fontId="31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17" fillId="7" borderId="11" xfId="5" applyFont="1" applyFill="1" applyBorder="1" applyAlignment="1">
      <alignment horizontal="center" vertical="center" wrapText="1"/>
    </xf>
    <xf numFmtId="0" fontId="17" fillId="7" borderId="12" xfId="5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5" fillId="0" borderId="0" xfId="0" applyFont="1" applyAlignment="1">
      <alignment horizontal="center"/>
    </xf>
  </cellXfs>
  <cellStyles count="7">
    <cellStyle name="Millares [0]" xfId="1" builtinId="6"/>
    <cellStyle name="Moneda [0]" xfId="6" builtinId="7"/>
    <cellStyle name="Normal" xfId="0" builtinId="0"/>
    <cellStyle name="Normal 2" xfId="2" xr:uid="{6F0BF9C7-2BB6-4810-B890-F666D4A33B59}"/>
    <cellStyle name="Normal_TABLA_AG" xfId="5" xr:uid="{CF043CB1-9030-4FE5-B37C-DFF91328DC70}"/>
    <cellStyle name="Porcentaje" xfId="3" builtinId="5"/>
    <cellStyle name="Título 4" xfId="4" xr:uid="{32C68F76-5C8F-4B02-AF91-A7685564F00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228600</xdr:colOff>
      <xdr:row>116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CF5D31B-E44B-43F5-897B-1F8D976056D4}"/>
            </a:ext>
          </a:extLst>
        </xdr:cNvPr>
        <xdr:cNvSpPr txBox="1"/>
      </xdr:nvSpPr>
      <xdr:spPr>
        <a:xfrm>
          <a:off x="20907375" y="2860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28</xdr:col>
      <xdr:colOff>228600</xdr:colOff>
      <xdr:row>130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33D189DE-AAFC-4F68-92B0-1A5C11F0B013}"/>
            </a:ext>
          </a:extLst>
        </xdr:cNvPr>
        <xdr:cNvSpPr txBox="1"/>
      </xdr:nvSpPr>
      <xdr:spPr>
        <a:xfrm>
          <a:off x="20907375" y="3193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67E0D-BD8E-424D-8758-BBFD5A403ADD}">
  <dimension ref="B2:D7"/>
  <sheetViews>
    <sheetView workbookViewId="0">
      <selection activeCell="B27" sqref="B27"/>
    </sheetView>
  </sheetViews>
  <sheetFormatPr baseColWidth="10" defaultColWidth="11.42578125" defaultRowHeight="15" x14ac:dyDescent="0.25"/>
  <cols>
    <col min="1" max="1" width="3" customWidth="1"/>
    <col min="2" max="2" width="33.5703125" bestFit="1" customWidth="1"/>
    <col min="3" max="3" width="11.85546875" bestFit="1" customWidth="1"/>
    <col min="4" max="4" width="25.85546875" bestFit="1" customWidth="1"/>
  </cols>
  <sheetData>
    <row r="2" spans="2:4" x14ac:dyDescent="0.25">
      <c r="B2" s="27" t="s">
        <v>536</v>
      </c>
    </row>
    <row r="3" spans="2:4" x14ac:dyDescent="0.25">
      <c r="B3" s="55" t="s">
        <v>0</v>
      </c>
      <c r="C3" s="55" t="s">
        <v>1</v>
      </c>
      <c r="D3" s="55" t="s">
        <v>2</v>
      </c>
    </row>
    <row r="4" spans="2:4" x14ac:dyDescent="0.25">
      <c r="B4" s="56" t="s">
        <v>3</v>
      </c>
      <c r="C4" s="102">
        <v>12411.447426999999</v>
      </c>
      <c r="D4" s="102">
        <v>32890.335681730874</v>
      </c>
    </row>
    <row r="5" spans="2:4" x14ac:dyDescent="0.25">
      <c r="B5" s="56" t="s">
        <v>4</v>
      </c>
      <c r="C5" s="102">
        <v>8174.2246109999996</v>
      </c>
      <c r="D5" s="102">
        <v>21661.695219269128</v>
      </c>
    </row>
    <row r="6" spans="2:4" x14ac:dyDescent="0.25">
      <c r="B6" s="55" t="s">
        <v>5</v>
      </c>
      <c r="C6" s="105">
        <f>+SUM(C4:C5)</f>
        <v>20585.672037999997</v>
      </c>
      <c r="D6" s="105">
        <f>+SUM(D4:D5)</f>
        <v>54552.030901000006</v>
      </c>
    </row>
    <row r="7" spans="2:4" x14ac:dyDescent="0.25">
      <c r="B7" s="103" t="s">
        <v>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DA786-6BA5-4C54-925F-54517403ADAF}">
  <dimension ref="B1:P45"/>
  <sheetViews>
    <sheetView topLeftCell="A32" workbookViewId="0">
      <selection activeCell="B2" sqref="B2:N2"/>
    </sheetView>
  </sheetViews>
  <sheetFormatPr baseColWidth="10" defaultColWidth="11.42578125" defaultRowHeight="15" x14ac:dyDescent="0.25"/>
  <cols>
    <col min="2" max="2" width="32.7109375" customWidth="1"/>
    <col min="3" max="3" width="16.140625" customWidth="1"/>
    <col min="4" max="4" width="13.140625" customWidth="1"/>
    <col min="6" max="6" width="12.7109375" customWidth="1"/>
    <col min="7" max="7" width="14.5703125" customWidth="1"/>
    <col min="16" max="16" width="27.140625" style="52" customWidth="1"/>
  </cols>
  <sheetData>
    <row r="1" spans="2:16" x14ac:dyDescent="0.25">
      <c r="B1" s="27" t="s">
        <v>542</v>
      </c>
    </row>
    <row r="2" spans="2:16" x14ac:dyDescent="0.25">
      <c r="B2" s="192" t="s">
        <v>97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4" spans="2:16" x14ac:dyDescent="0.25">
      <c r="B4" s="55" t="s">
        <v>98</v>
      </c>
      <c r="C4" s="55">
        <v>2014</v>
      </c>
      <c r="D4" s="55">
        <v>2015</v>
      </c>
      <c r="E4" s="55">
        <v>2016</v>
      </c>
      <c r="F4" s="55">
        <v>2017</v>
      </c>
      <c r="G4" s="55">
        <v>2018</v>
      </c>
      <c r="H4" s="55">
        <v>2019</v>
      </c>
      <c r="I4" s="55">
        <v>2020</v>
      </c>
      <c r="J4" s="55">
        <v>2021</v>
      </c>
      <c r="K4" s="55">
        <v>2022</v>
      </c>
      <c r="L4" s="55">
        <v>2023</v>
      </c>
      <c r="M4" s="55">
        <v>2024</v>
      </c>
      <c r="N4" s="55">
        <v>2025</v>
      </c>
      <c r="O4" s="27"/>
    </row>
    <row r="5" spans="2:16" x14ac:dyDescent="0.25">
      <c r="B5" s="56" t="s">
        <v>99</v>
      </c>
      <c r="C5" s="57">
        <v>8473</v>
      </c>
      <c r="D5" s="57">
        <v>8576</v>
      </c>
      <c r="E5" s="57">
        <v>8364</v>
      </c>
      <c r="F5" s="57">
        <v>8370</v>
      </c>
      <c r="G5" s="57">
        <v>8146</v>
      </c>
      <c r="H5" s="57">
        <v>8099</v>
      </c>
      <c r="I5" s="57">
        <v>8368</v>
      </c>
      <c r="J5" s="57">
        <v>8269</v>
      </c>
      <c r="K5" s="57">
        <v>7968</v>
      </c>
      <c r="L5" s="57">
        <v>8033</v>
      </c>
      <c r="M5" s="57">
        <v>8160</v>
      </c>
      <c r="N5" s="57">
        <v>8332</v>
      </c>
      <c r="O5" s="58"/>
    </row>
    <row r="6" spans="2:16" x14ac:dyDescent="0.25">
      <c r="B6" s="56" t="s">
        <v>100</v>
      </c>
      <c r="C6" s="57">
        <v>118784</v>
      </c>
      <c r="D6" s="57">
        <v>128081</v>
      </c>
      <c r="E6" s="57">
        <v>140362</v>
      </c>
      <c r="F6" s="57">
        <v>146836</v>
      </c>
      <c r="G6" s="57">
        <v>151375</v>
      </c>
      <c r="H6" s="57">
        <v>161727</v>
      </c>
      <c r="I6" s="57">
        <v>172558</v>
      </c>
      <c r="J6" s="57">
        <v>195640</v>
      </c>
      <c r="K6" s="57">
        <v>201127</v>
      </c>
      <c r="L6" s="57">
        <v>204737</v>
      </c>
      <c r="M6" s="57">
        <v>212901</v>
      </c>
      <c r="N6" s="57">
        <v>218296</v>
      </c>
      <c r="O6" s="58"/>
    </row>
    <row r="7" spans="2:16" x14ac:dyDescent="0.25">
      <c r="B7" s="56" t="s">
        <v>101</v>
      </c>
      <c r="C7" s="57">
        <v>76092</v>
      </c>
      <c r="D7" s="57">
        <v>79457</v>
      </c>
      <c r="E7" s="57">
        <v>84209</v>
      </c>
      <c r="F7" s="57">
        <v>86971</v>
      </c>
      <c r="G7" s="57">
        <v>89366</v>
      </c>
      <c r="H7" s="57">
        <v>96923</v>
      </c>
      <c r="I7" s="57">
        <v>101818</v>
      </c>
      <c r="J7" s="57">
        <v>112547</v>
      </c>
      <c r="K7" s="57">
        <v>107913</v>
      </c>
      <c r="L7" s="57">
        <v>108550</v>
      </c>
      <c r="M7" s="57">
        <v>108681</v>
      </c>
      <c r="N7" s="57">
        <v>109898</v>
      </c>
      <c r="O7" s="58"/>
    </row>
    <row r="8" spans="2:16" x14ac:dyDescent="0.25">
      <c r="B8" s="56" t="s">
        <v>102</v>
      </c>
      <c r="C8" s="57">
        <v>46282</v>
      </c>
      <c r="D8" s="57">
        <v>48206</v>
      </c>
      <c r="E8" s="57">
        <v>51162</v>
      </c>
      <c r="F8" s="57">
        <v>50692</v>
      </c>
      <c r="G8" s="57">
        <v>53093</v>
      </c>
      <c r="H8" s="57">
        <v>53185</v>
      </c>
      <c r="I8" s="57">
        <v>54878</v>
      </c>
      <c r="J8" s="57">
        <v>60017</v>
      </c>
      <c r="K8" s="57">
        <v>59407</v>
      </c>
      <c r="L8" s="57">
        <v>57619</v>
      </c>
      <c r="M8" s="167">
        <v>79625</v>
      </c>
      <c r="N8" s="57">
        <v>53748</v>
      </c>
      <c r="O8" s="58"/>
    </row>
    <row r="9" spans="2:16" x14ac:dyDescent="0.25">
      <c r="B9" s="56" t="s">
        <v>103</v>
      </c>
      <c r="C9" s="57">
        <v>25616</v>
      </c>
      <c r="D9" s="57">
        <v>27180</v>
      </c>
      <c r="E9" s="57">
        <v>24735</v>
      </c>
      <c r="F9" s="57">
        <v>28541</v>
      </c>
      <c r="G9" s="57">
        <v>28997</v>
      </c>
      <c r="H9" s="57">
        <v>29840</v>
      </c>
      <c r="I9" s="57">
        <v>31279</v>
      </c>
      <c r="J9" s="57">
        <v>35637</v>
      </c>
      <c r="K9" s="57">
        <v>34237</v>
      </c>
      <c r="L9" s="57">
        <v>34487</v>
      </c>
      <c r="M9" s="57">
        <v>34697</v>
      </c>
      <c r="N9" s="57">
        <v>35637</v>
      </c>
      <c r="O9" s="58"/>
    </row>
    <row r="10" spans="2:16" x14ac:dyDescent="0.25">
      <c r="B10" s="55" t="s">
        <v>104</v>
      </c>
      <c r="C10" s="22">
        <f>+SUM(C5:C9)</f>
        <v>275247</v>
      </c>
      <c r="D10" s="22">
        <f t="shared" ref="D10:M10" si="0">+SUM(D5:D9)</f>
        <v>291500</v>
      </c>
      <c r="E10" s="22">
        <f t="shared" si="0"/>
        <v>308832</v>
      </c>
      <c r="F10" s="22">
        <f t="shared" si="0"/>
        <v>321410</v>
      </c>
      <c r="G10" s="22">
        <f t="shared" si="0"/>
        <v>330977</v>
      </c>
      <c r="H10" s="22">
        <f t="shared" si="0"/>
        <v>349774</v>
      </c>
      <c r="I10" s="22">
        <f t="shared" si="0"/>
        <v>368901</v>
      </c>
      <c r="J10" s="22">
        <f t="shared" si="0"/>
        <v>412110</v>
      </c>
      <c r="K10" s="177">
        <f t="shared" si="0"/>
        <v>410652</v>
      </c>
      <c r="L10" s="177">
        <f t="shared" si="0"/>
        <v>413426</v>
      </c>
      <c r="M10" s="177">
        <f t="shared" si="0"/>
        <v>444064</v>
      </c>
      <c r="N10" s="177">
        <f>+SUM(N5:N9)</f>
        <v>425911</v>
      </c>
      <c r="O10" s="59"/>
    </row>
    <row r="11" spans="2:16" x14ac:dyDescent="0.25">
      <c r="B11" s="176" t="s">
        <v>522</v>
      </c>
      <c r="K11" s="178"/>
      <c r="L11" s="178"/>
      <c r="M11" s="178"/>
      <c r="N11" s="178"/>
    </row>
    <row r="12" spans="2:16" x14ac:dyDescent="0.25">
      <c r="B12" s="121" t="s">
        <v>575</v>
      </c>
    </row>
    <row r="13" spans="2:16" x14ac:dyDescent="0.25">
      <c r="B13" s="192" t="s">
        <v>105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5" spans="2:16" x14ac:dyDescent="0.25">
      <c r="B15" s="55" t="s">
        <v>98</v>
      </c>
      <c r="C15" s="55">
        <v>2014</v>
      </c>
      <c r="D15" s="55">
        <v>2015</v>
      </c>
      <c r="E15" s="55">
        <v>2016</v>
      </c>
      <c r="F15" s="55">
        <v>2017</v>
      </c>
      <c r="G15" s="55">
        <v>2018</v>
      </c>
      <c r="H15" s="55">
        <v>2019</v>
      </c>
      <c r="I15" s="55">
        <v>2020</v>
      </c>
      <c r="J15" s="55">
        <v>2021</v>
      </c>
      <c r="K15" s="55">
        <v>2022</v>
      </c>
      <c r="L15" s="55">
        <v>2023</v>
      </c>
      <c r="M15" s="55">
        <v>2024</v>
      </c>
      <c r="N15" s="55">
        <v>2025</v>
      </c>
      <c r="P15" s="54" t="s">
        <v>106</v>
      </c>
    </row>
    <row r="16" spans="2:16" x14ac:dyDescent="0.25">
      <c r="B16" s="56" t="s">
        <v>99</v>
      </c>
      <c r="C16" s="57"/>
      <c r="D16" s="60">
        <f>+D5/C5-1</f>
        <v>1.2156261064558027E-2</v>
      </c>
      <c r="E16" s="60">
        <f>+E5/D5-1</f>
        <v>-2.4720149253731338E-2</v>
      </c>
      <c r="F16" s="60">
        <f t="shared" ref="F16:M16" si="1">+F5/E5-1</f>
        <v>7.1736011477763206E-4</v>
      </c>
      <c r="G16" s="60">
        <f t="shared" si="1"/>
        <v>-2.6762246117084776E-2</v>
      </c>
      <c r="H16" s="60">
        <f t="shared" si="1"/>
        <v>-5.7697029216793316E-3</v>
      </c>
      <c r="I16" s="60">
        <f t="shared" si="1"/>
        <v>3.3213977034201703E-2</v>
      </c>
      <c r="J16" s="60">
        <f t="shared" si="1"/>
        <v>-1.1830783938814537E-2</v>
      </c>
      <c r="K16" s="60">
        <f t="shared" si="1"/>
        <v>-3.6401015842302598E-2</v>
      </c>
      <c r="L16" s="60">
        <f t="shared" si="1"/>
        <v>8.1576305220882883E-3</v>
      </c>
      <c r="M16" s="60">
        <f t="shared" si="1"/>
        <v>1.5809784638366686E-2</v>
      </c>
      <c r="N16" s="60">
        <f>+N5/M5-1</f>
        <v>2.1078431372548945E-2</v>
      </c>
      <c r="P16" s="61">
        <f t="shared" ref="P16:P21" si="2">+AVERAGE(J16:N16)</f>
        <v>-6.3719064962264316E-4</v>
      </c>
    </row>
    <row r="17" spans="2:16" x14ac:dyDescent="0.25">
      <c r="B17" s="56" t="s">
        <v>100</v>
      </c>
      <c r="C17" s="57"/>
      <c r="D17" s="60">
        <f t="shared" ref="D17:N21" si="3">+D6/C6-1</f>
        <v>7.8268116918103425E-2</v>
      </c>
      <c r="E17" s="60">
        <f t="shared" si="3"/>
        <v>9.5884635504094984E-2</v>
      </c>
      <c r="F17" s="60">
        <f t="shared" si="3"/>
        <v>4.6123594705119508E-2</v>
      </c>
      <c r="G17" s="60">
        <f t="shared" si="3"/>
        <v>3.0912037919856195E-2</v>
      </c>
      <c r="H17" s="60">
        <f t="shared" si="3"/>
        <v>6.8386457473162743E-2</v>
      </c>
      <c r="I17" s="60">
        <f t="shared" si="3"/>
        <v>6.6970883031281181E-2</v>
      </c>
      <c r="J17" s="60">
        <f t="shared" si="3"/>
        <v>0.13376372002457138</v>
      </c>
      <c r="K17" s="60">
        <f t="shared" si="3"/>
        <v>2.8046411776732727E-2</v>
      </c>
      <c r="L17" s="60">
        <f t="shared" si="3"/>
        <v>1.7948858184132499E-2</v>
      </c>
      <c r="M17" s="60">
        <f t="shared" si="3"/>
        <v>3.9875547653819288E-2</v>
      </c>
      <c r="N17" s="60">
        <f>+N6/M6-1</f>
        <v>2.5340416437686919E-2</v>
      </c>
      <c r="P17" s="61">
        <f t="shared" si="2"/>
        <v>4.8994990815388564E-2</v>
      </c>
    </row>
    <row r="18" spans="2:16" x14ac:dyDescent="0.25">
      <c r="B18" s="56" t="s">
        <v>101</v>
      </c>
      <c r="C18" s="57"/>
      <c r="D18" s="60">
        <f t="shared" si="3"/>
        <v>4.4222782946959027E-2</v>
      </c>
      <c r="E18" s="60">
        <f t="shared" si="3"/>
        <v>5.9805932768667303E-2</v>
      </c>
      <c r="F18" s="60">
        <f t="shared" si="3"/>
        <v>3.2799344488118942E-2</v>
      </c>
      <c r="G18" s="60">
        <f t="shared" si="3"/>
        <v>2.7537914937163066E-2</v>
      </c>
      <c r="H18" s="60">
        <f t="shared" si="3"/>
        <v>8.4562361524517238E-2</v>
      </c>
      <c r="I18" s="60">
        <f t="shared" si="3"/>
        <v>5.0504008336514472E-2</v>
      </c>
      <c r="J18" s="60">
        <f t="shared" si="3"/>
        <v>0.10537429531124154</v>
      </c>
      <c r="K18" s="60">
        <f t="shared" si="3"/>
        <v>-4.1173909566669886E-2</v>
      </c>
      <c r="L18" s="60">
        <f t="shared" si="3"/>
        <v>5.9029032646669144E-3</v>
      </c>
      <c r="M18" s="60">
        <f t="shared" si="3"/>
        <v>1.206817134960847E-3</v>
      </c>
      <c r="N18" s="60">
        <f>+N7/M7-1</f>
        <v>1.1197909478197765E-2</v>
      </c>
      <c r="P18" s="61">
        <f t="shared" si="2"/>
        <v>1.6501603124479437E-2</v>
      </c>
    </row>
    <row r="19" spans="2:16" x14ac:dyDescent="0.25">
      <c r="B19" s="56" t="s">
        <v>102</v>
      </c>
      <c r="C19" s="57"/>
      <c r="D19" s="60">
        <f t="shared" si="3"/>
        <v>4.1571237198046784E-2</v>
      </c>
      <c r="E19" s="60">
        <f t="shared" si="3"/>
        <v>6.1320167613990062E-2</v>
      </c>
      <c r="F19" s="60">
        <f t="shared" si="3"/>
        <v>-9.1865056096321895E-3</v>
      </c>
      <c r="G19" s="60">
        <f t="shared" si="3"/>
        <v>4.7364475656908489E-2</v>
      </c>
      <c r="H19" s="60">
        <f t="shared" si="3"/>
        <v>1.7328084681595968E-3</v>
      </c>
      <c r="I19" s="60">
        <f t="shared" si="3"/>
        <v>3.1832283538591799E-2</v>
      </c>
      <c r="J19" s="60">
        <f t="shared" si="3"/>
        <v>9.3644083239185161E-2</v>
      </c>
      <c r="K19" s="60">
        <f t="shared" si="3"/>
        <v>-1.0163786927037344E-2</v>
      </c>
      <c r="L19" s="60">
        <f t="shared" si="3"/>
        <v>-3.0097463261905211E-2</v>
      </c>
      <c r="M19" s="60">
        <f t="shared" si="3"/>
        <v>0.38192262968812374</v>
      </c>
      <c r="N19" s="60">
        <f>+N8/M8-1</f>
        <v>-0.32498587127158551</v>
      </c>
      <c r="P19" s="61">
        <f t="shared" si="2"/>
        <v>2.2063918293356168E-2</v>
      </c>
    </row>
    <row r="20" spans="2:16" x14ac:dyDescent="0.25">
      <c r="B20" s="56" t="s">
        <v>103</v>
      </c>
      <c r="C20" s="57"/>
      <c r="D20" s="60">
        <f t="shared" si="3"/>
        <v>6.1055590256089864E-2</v>
      </c>
      <c r="E20" s="60">
        <f t="shared" si="3"/>
        <v>-8.9955849889624684E-2</v>
      </c>
      <c r="F20" s="60">
        <f t="shared" si="3"/>
        <v>0.15387103294926208</v>
      </c>
      <c r="G20" s="60">
        <f t="shared" si="3"/>
        <v>1.5977015521530413E-2</v>
      </c>
      <c r="H20" s="60">
        <f t="shared" si="3"/>
        <v>2.9071972962720238E-2</v>
      </c>
      <c r="I20" s="60">
        <f t="shared" si="3"/>
        <v>4.8223860589812428E-2</v>
      </c>
      <c r="J20" s="60">
        <f t="shared" si="3"/>
        <v>0.13932670481792897</v>
      </c>
      <c r="K20" s="60">
        <f t="shared" si="3"/>
        <v>-3.928501276762919E-2</v>
      </c>
      <c r="L20" s="60">
        <f t="shared" si="3"/>
        <v>7.302041650845581E-3</v>
      </c>
      <c r="M20" s="60">
        <f t="shared" si="3"/>
        <v>6.0892510221242091E-3</v>
      </c>
      <c r="N20" s="60">
        <f>+N9/M9-1</f>
        <v>2.7091679395913282E-2</v>
      </c>
      <c r="P20" s="61">
        <f t="shared" si="2"/>
        <v>2.8104932823836571E-2</v>
      </c>
    </row>
    <row r="21" spans="2:16" x14ac:dyDescent="0.25">
      <c r="B21" s="55" t="s">
        <v>104</v>
      </c>
      <c r="C21" s="22"/>
      <c r="D21" s="62">
        <f t="shared" si="3"/>
        <v>5.904878163976357E-2</v>
      </c>
      <c r="E21" s="62">
        <f t="shared" si="3"/>
        <v>5.9457975986277889E-2</v>
      </c>
      <c r="F21" s="62">
        <f t="shared" si="3"/>
        <v>4.0727644803647323E-2</v>
      </c>
      <c r="G21" s="62">
        <f t="shared" si="3"/>
        <v>2.976571979714393E-2</v>
      </c>
      <c r="H21" s="62">
        <f t="shared" si="3"/>
        <v>5.6792465941742254E-2</v>
      </c>
      <c r="I21" s="62">
        <f t="shared" si="3"/>
        <v>5.4683881592113792E-2</v>
      </c>
      <c r="J21" s="62">
        <f t="shared" si="3"/>
        <v>0.11712898582546538</v>
      </c>
      <c r="K21" s="62">
        <f t="shared" si="3"/>
        <v>-3.5378903690762575E-3</v>
      </c>
      <c r="L21" s="62">
        <f t="shared" si="3"/>
        <v>6.7551113838482113E-3</v>
      </c>
      <c r="M21" s="62">
        <f t="shared" si="3"/>
        <v>7.4107579107264732E-2</v>
      </c>
      <c r="N21" s="62">
        <f t="shared" si="3"/>
        <v>-4.0879242631692736E-2</v>
      </c>
      <c r="P21" s="63">
        <f t="shared" si="2"/>
        <v>3.0714908663161865E-2</v>
      </c>
    </row>
    <row r="24" spans="2:16" x14ac:dyDescent="0.25">
      <c r="B24" s="192" t="s">
        <v>107</v>
      </c>
      <c r="C24" s="192"/>
      <c r="D24" s="192"/>
      <c r="E24" s="192"/>
      <c r="F24" s="192"/>
      <c r="G24" s="192"/>
      <c r="H24" s="192"/>
    </row>
    <row r="26" spans="2:16" ht="45" x14ac:dyDescent="0.25">
      <c r="B26" s="55" t="s">
        <v>98</v>
      </c>
      <c r="C26" s="100" t="s">
        <v>108</v>
      </c>
      <c r="D26" s="100" t="s">
        <v>109</v>
      </c>
      <c r="E26" s="100" t="s">
        <v>96</v>
      </c>
      <c r="F26" s="101" t="s">
        <v>110</v>
      </c>
      <c r="G26" s="101" t="s">
        <v>111</v>
      </c>
      <c r="H26" s="101" t="s">
        <v>112</v>
      </c>
    </row>
    <row r="27" spans="2:16" x14ac:dyDescent="0.25">
      <c r="B27" s="56" t="s">
        <v>99</v>
      </c>
      <c r="C27" s="57">
        <f>N5</f>
        <v>8332</v>
      </c>
      <c r="D27" s="57">
        <f>+MAX(C27,N5*(1+P16))-C40</f>
        <v>8328.6311510671185</v>
      </c>
      <c r="E27" s="57">
        <f>+D27-C27</f>
        <v>-3.3688489328815194</v>
      </c>
      <c r="F27" s="57">
        <v>3</v>
      </c>
      <c r="G27" s="57">
        <f>+_xlfn.XLOOKUP(F27,'EUS_Régimen General_JUNIO2025 '!B26:B37,'EUS_Régimen General_JUNIO2025 '!V26:V37)</f>
        <v>5206087.28</v>
      </c>
      <c r="H27" s="57">
        <f>+E27*G27*12/10^6</f>
        <v>-210.46225893259262</v>
      </c>
    </row>
    <row r="28" spans="2:16" x14ac:dyDescent="0.25">
      <c r="B28" s="56" t="s">
        <v>100</v>
      </c>
      <c r="C28" s="57">
        <f>N6</f>
        <v>218296</v>
      </c>
      <c r="D28" s="57">
        <f t="shared" ref="D28:D31" si="4">+MAX(C28,N6*(1+P17))-C41</f>
        <v>227624.09776670323</v>
      </c>
      <c r="E28" s="57">
        <f t="shared" ref="E28:E31" si="5">+D28-C28</f>
        <v>9328.0977667032275</v>
      </c>
      <c r="F28" s="57">
        <v>12</v>
      </c>
      <c r="G28" s="57">
        <f>+_xlfn.XLOOKUP(F28,'EUS_Régimen General_JUNIO2025 '!B60:B79,'EUS_Régimen General_JUNIO2025 '!V60:V79)</f>
        <v>2486495.5422</v>
      </c>
      <c r="H28" s="57">
        <f>+E28*G28*12/10^6</f>
        <v>278331.2821693602</v>
      </c>
    </row>
    <row r="29" spans="2:16" x14ac:dyDescent="0.25">
      <c r="B29" s="56" t="s">
        <v>101</v>
      </c>
      <c r="C29" s="57">
        <f>N7</f>
        <v>109898</v>
      </c>
      <c r="D29" s="57">
        <f t="shared" si="4"/>
        <v>110980.42980813766</v>
      </c>
      <c r="E29" s="57">
        <f t="shared" si="5"/>
        <v>1082.4298081376619</v>
      </c>
      <c r="F29" s="57">
        <v>12</v>
      </c>
      <c r="G29" s="57">
        <f>+_xlfn.XLOOKUP(F29,'EUS_Régimen General_JUNIO2025 '!B101:B115,'EUS_Régimen General_JUNIO2025 '!V101:V115)</f>
        <v>2450371.4187599998</v>
      </c>
      <c r="H29" s="57">
        <f>+E29*G29*12/10^6</f>
        <v>31828.260776092764</v>
      </c>
    </row>
    <row r="30" spans="2:16" x14ac:dyDescent="0.25">
      <c r="B30" s="56" t="s">
        <v>102</v>
      </c>
      <c r="C30" s="57">
        <f>N8</f>
        <v>53748</v>
      </c>
      <c r="D30" s="57">
        <f>+MAX(C30,N8*(1+P19))-C43</f>
        <v>54700.213763214029</v>
      </c>
      <c r="E30" s="57">
        <f t="shared" si="5"/>
        <v>952.21376321402931</v>
      </c>
      <c r="F30" s="57">
        <v>15</v>
      </c>
      <c r="G30" s="57">
        <f>+_xlfn.XLOOKUP(F30,'EUS_Régimen General_JUNIO2025 '!B118:B134,'EUS_Régimen General_JUNIO2025 '!V118:V134)</f>
        <v>1151979.3689999999</v>
      </c>
      <c r="H30" s="57">
        <f>+E30*G30*12/10^6</f>
        <v>13163.167321204954</v>
      </c>
    </row>
    <row r="31" spans="2:16" x14ac:dyDescent="0.25">
      <c r="B31" s="56" t="s">
        <v>103</v>
      </c>
      <c r="C31" s="57">
        <f>N9</f>
        <v>35637</v>
      </c>
      <c r="D31" s="57">
        <f t="shared" si="4"/>
        <v>36386.953733117989</v>
      </c>
      <c r="E31" s="57">
        <f t="shared" si="5"/>
        <v>749.95373311798903</v>
      </c>
      <c r="F31" s="57">
        <v>19</v>
      </c>
      <c r="G31" s="57">
        <f>+_xlfn.XLOOKUP(F31,'EUS_Régimen General_JUNIO2025 '!B137:B149,'EUS_Régimen General_JUNIO2025 '!V137:V149)</f>
        <v>942785.52899999998</v>
      </c>
      <c r="H31" s="57">
        <f>+E31*G31*12/10^6</f>
        <v>8484.5463240380177</v>
      </c>
    </row>
    <row r="32" spans="2:16" x14ac:dyDescent="0.25">
      <c r="B32" s="175" t="s">
        <v>104</v>
      </c>
      <c r="C32" s="22">
        <f>+SUM(C27:C31)</f>
        <v>425911</v>
      </c>
      <c r="D32" s="22">
        <f>+SUM(D27:D31)</f>
        <v>438020.32622223999</v>
      </c>
      <c r="E32" s="22">
        <f>+SUM(E27:E31)</f>
        <v>12109.326222240026</v>
      </c>
      <c r="F32" s="65"/>
      <c r="G32" s="66"/>
      <c r="H32" s="22">
        <f>+SUM(H27:H31)</f>
        <v>331596.79433176335</v>
      </c>
    </row>
    <row r="33" spans="2:6" x14ac:dyDescent="0.25">
      <c r="B33" s="122"/>
      <c r="E33" s="141"/>
    </row>
    <row r="35" spans="2:6" x14ac:dyDescent="0.25">
      <c r="B35" s="56"/>
      <c r="C35" s="54" t="s">
        <v>523</v>
      </c>
      <c r="D35" s="54" t="s">
        <v>524</v>
      </c>
      <c r="E35" s="54" t="s">
        <v>525</v>
      </c>
      <c r="F35" s="54" t="s">
        <v>5</v>
      </c>
    </row>
    <row r="36" spans="2:6" ht="45" x14ac:dyDescent="0.25">
      <c r="B36" s="140" t="s">
        <v>572</v>
      </c>
      <c r="C36" s="126">
        <v>1793</v>
      </c>
      <c r="D36" s="126">
        <v>81</v>
      </c>
      <c r="E36" s="179">
        <f>32087/45</f>
        <v>713.04444444444448</v>
      </c>
      <c r="F36" s="179">
        <f>+SUM(C36:E36)</f>
        <v>2587.0444444444447</v>
      </c>
    </row>
    <row r="39" spans="2:6" x14ac:dyDescent="0.25">
      <c r="B39" s="55" t="s">
        <v>98</v>
      </c>
      <c r="C39" s="55" t="s">
        <v>526</v>
      </c>
    </row>
    <row r="40" spans="2:6" x14ac:dyDescent="0.25">
      <c r="B40" s="56" t="s">
        <v>99</v>
      </c>
      <c r="C40" s="142">
        <v>3.3688489328822624</v>
      </c>
      <c r="D40" s="141"/>
    </row>
    <row r="41" spans="2:6" x14ac:dyDescent="0.25">
      <c r="B41" s="56" t="s">
        <v>100</v>
      </c>
      <c r="C41" s="142">
        <v>1367.312748332846</v>
      </c>
      <c r="D41" s="141"/>
    </row>
    <row r="42" spans="2:6" x14ac:dyDescent="0.25">
      <c r="B42" s="56" t="s">
        <v>101</v>
      </c>
      <c r="C42" s="142">
        <v>731.06337203636417</v>
      </c>
      <c r="D42" s="141"/>
    </row>
    <row r="43" spans="2:6" x14ac:dyDescent="0.25">
      <c r="B43" s="56" t="s">
        <v>102</v>
      </c>
      <c r="C43" s="142">
        <v>233.67771721727993</v>
      </c>
      <c r="D43" s="141"/>
    </row>
    <row r="44" spans="2:6" x14ac:dyDescent="0.25">
      <c r="B44" s="56" t="s">
        <v>103</v>
      </c>
      <c r="C44" s="142">
        <v>251.62175792507199</v>
      </c>
      <c r="D44" s="141"/>
    </row>
    <row r="45" spans="2:6" x14ac:dyDescent="0.25">
      <c r="B45" s="55" t="s">
        <v>104</v>
      </c>
      <c r="C45" s="143">
        <f>+SUM(C40:C44)</f>
        <v>2587.0444444444447</v>
      </c>
      <c r="D45" s="141"/>
    </row>
  </sheetData>
  <mergeCells count="3">
    <mergeCell ref="B2:N2"/>
    <mergeCell ref="B13:N13"/>
    <mergeCell ref="B24:H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B15CF-2EF7-4AFE-AFD3-7C0CAFF88E85}">
  <dimension ref="B1:P38"/>
  <sheetViews>
    <sheetView topLeftCell="A22" workbookViewId="0">
      <selection activeCell="J30" sqref="J30"/>
    </sheetView>
  </sheetViews>
  <sheetFormatPr baseColWidth="10" defaultColWidth="11.42578125" defaultRowHeight="15" x14ac:dyDescent="0.25"/>
  <cols>
    <col min="2" max="2" width="22" customWidth="1"/>
    <col min="4" max="4" width="13.140625" customWidth="1"/>
    <col min="5" max="5" width="17" customWidth="1"/>
    <col min="6" max="6" width="15.28515625" customWidth="1"/>
    <col min="7" max="7" width="14.5703125" customWidth="1"/>
    <col min="16" max="16" width="27.42578125" style="52" customWidth="1"/>
  </cols>
  <sheetData>
    <row r="1" spans="2:16" x14ac:dyDescent="0.25">
      <c r="B1" s="27" t="s">
        <v>543</v>
      </c>
    </row>
    <row r="2" spans="2:16" x14ac:dyDescent="0.25">
      <c r="B2" s="192" t="s">
        <v>97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4" spans="2:16" x14ac:dyDescent="0.25">
      <c r="B4" s="55" t="s">
        <v>98</v>
      </c>
      <c r="C4" s="55">
        <v>2014</v>
      </c>
      <c r="D4" s="55">
        <v>2015</v>
      </c>
      <c r="E4" s="55">
        <v>2016</v>
      </c>
      <c r="F4" s="55">
        <v>2017</v>
      </c>
      <c r="G4" s="55">
        <v>2018</v>
      </c>
      <c r="H4" s="55">
        <v>2019</v>
      </c>
      <c r="I4" s="55">
        <v>2020</v>
      </c>
      <c r="J4" s="55">
        <v>2021</v>
      </c>
      <c r="K4" s="55">
        <v>2022</v>
      </c>
      <c r="L4" s="55">
        <v>2023</v>
      </c>
      <c r="M4" s="55">
        <v>2024</v>
      </c>
      <c r="N4" s="55">
        <v>2025</v>
      </c>
      <c r="O4" s="27"/>
    </row>
    <row r="5" spans="2:16" x14ac:dyDescent="0.25">
      <c r="B5" s="56" t="s">
        <v>99</v>
      </c>
      <c r="C5" s="57">
        <v>8473</v>
      </c>
      <c r="D5" s="57">
        <v>8576</v>
      </c>
      <c r="E5" s="57">
        <v>8364</v>
      </c>
      <c r="F5" s="57">
        <v>8370</v>
      </c>
      <c r="G5" s="57">
        <v>8146</v>
      </c>
      <c r="H5" s="57">
        <v>8099</v>
      </c>
      <c r="I5" s="57">
        <v>8368</v>
      </c>
      <c r="J5" s="57">
        <v>8269</v>
      </c>
      <c r="K5" s="57">
        <v>7968</v>
      </c>
      <c r="L5" s="57">
        <v>8033</v>
      </c>
      <c r="M5" s="57">
        <v>8160</v>
      </c>
      <c r="N5" s="57">
        <v>8332</v>
      </c>
      <c r="O5" s="58"/>
    </row>
    <row r="6" spans="2:16" x14ac:dyDescent="0.25">
      <c r="B6" s="56" t="s">
        <v>100</v>
      </c>
      <c r="C6" s="57">
        <v>118784</v>
      </c>
      <c r="D6" s="57">
        <v>128081</v>
      </c>
      <c r="E6" s="57">
        <v>140362</v>
      </c>
      <c r="F6" s="57">
        <v>146836</v>
      </c>
      <c r="G6" s="57">
        <v>151375</v>
      </c>
      <c r="H6" s="57">
        <v>161727</v>
      </c>
      <c r="I6" s="57">
        <v>172558</v>
      </c>
      <c r="J6" s="57">
        <v>195640</v>
      </c>
      <c r="K6" s="57">
        <v>201127</v>
      </c>
      <c r="L6" s="57">
        <v>204737</v>
      </c>
      <c r="M6" s="57">
        <v>212901</v>
      </c>
      <c r="N6" s="57">
        <v>218296</v>
      </c>
      <c r="O6" s="58"/>
    </row>
    <row r="7" spans="2:16" x14ac:dyDescent="0.25">
      <c r="B7" s="56" t="s">
        <v>101</v>
      </c>
      <c r="C7" s="57">
        <v>76092</v>
      </c>
      <c r="D7" s="57">
        <v>79457</v>
      </c>
      <c r="E7" s="57">
        <v>84209</v>
      </c>
      <c r="F7" s="57">
        <v>86971</v>
      </c>
      <c r="G7" s="57">
        <v>89366</v>
      </c>
      <c r="H7" s="57">
        <v>96923</v>
      </c>
      <c r="I7" s="57">
        <v>101818</v>
      </c>
      <c r="J7" s="57">
        <v>112547</v>
      </c>
      <c r="K7" s="57">
        <v>107913</v>
      </c>
      <c r="L7" s="57">
        <v>108550</v>
      </c>
      <c r="M7" s="57">
        <v>108681</v>
      </c>
      <c r="N7" s="57">
        <v>109898</v>
      </c>
      <c r="O7" s="58"/>
    </row>
    <row r="8" spans="2:16" x14ac:dyDescent="0.25">
      <c r="B8" s="56" t="s">
        <v>102</v>
      </c>
      <c r="C8" s="57">
        <v>46282</v>
      </c>
      <c r="D8" s="57">
        <v>48206</v>
      </c>
      <c r="E8" s="57">
        <v>51162</v>
      </c>
      <c r="F8" s="57">
        <v>50692</v>
      </c>
      <c r="G8" s="57">
        <v>53093</v>
      </c>
      <c r="H8" s="57">
        <v>53185</v>
      </c>
      <c r="I8" s="57">
        <v>54878</v>
      </c>
      <c r="J8" s="57">
        <v>60017</v>
      </c>
      <c r="K8" s="57">
        <v>59407</v>
      </c>
      <c r="L8" s="57">
        <v>57619</v>
      </c>
      <c r="M8" s="57">
        <v>79625</v>
      </c>
      <c r="N8" s="57">
        <v>53748</v>
      </c>
      <c r="O8" s="58"/>
    </row>
    <row r="9" spans="2:16" x14ac:dyDescent="0.25">
      <c r="B9" s="56" t="s">
        <v>103</v>
      </c>
      <c r="C9" s="57">
        <v>25616</v>
      </c>
      <c r="D9" s="57">
        <v>27180</v>
      </c>
      <c r="E9" s="57">
        <v>24735</v>
      </c>
      <c r="F9" s="57">
        <v>28541</v>
      </c>
      <c r="G9" s="57">
        <v>28997</v>
      </c>
      <c r="H9" s="57">
        <v>29840</v>
      </c>
      <c r="I9" s="57">
        <v>31279</v>
      </c>
      <c r="J9" s="57">
        <v>35637</v>
      </c>
      <c r="K9" s="57">
        <v>34237</v>
      </c>
      <c r="L9" s="57">
        <v>34487</v>
      </c>
      <c r="M9" s="57">
        <v>34697</v>
      </c>
      <c r="N9" s="57">
        <v>35637</v>
      </c>
      <c r="O9" s="58"/>
    </row>
    <row r="10" spans="2:16" x14ac:dyDescent="0.25">
      <c r="B10" s="55" t="s">
        <v>104</v>
      </c>
      <c r="C10" s="22">
        <f>+SUM(C5:C9)</f>
        <v>275247</v>
      </c>
      <c r="D10" s="22">
        <f t="shared" ref="D10:N10" si="0">+SUM(D5:D9)</f>
        <v>291500</v>
      </c>
      <c r="E10" s="22">
        <f t="shared" si="0"/>
        <v>308832</v>
      </c>
      <c r="F10" s="22">
        <f t="shared" si="0"/>
        <v>321410</v>
      </c>
      <c r="G10" s="22">
        <f t="shared" si="0"/>
        <v>330977</v>
      </c>
      <c r="H10" s="22">
        <f t="shared" si="0"/>
        <v>349774</v>
      </c>
      <c r="I10" s="22">
        <f t="shared" si="0"/>
        <v>368901</v>
      </c>
      <c r="J10" s="22">
        <f t="shared" si="0"/>
        <v>412110</v>
      </c>
      <c r="K10" s="22">
        <f t="shared" si="0"/>
        <v>410652</v>
      </c>
      <c r="L10" s="22">
        <f t="shared" si="0"/>
        <v>413426</v>
      </c>
      <c r="M10" s="22">
        <f t="shared" si="0"/>
        <v>444064</v>
      </c>
      <c r="N10" s="22">
        <f t="shared" si="0"/>
        <v>425911</v>
      </c>
      <c r="O10" s="59"/>
    </row>
    <row r="11" spans="2:16" x14ac:dyDescent="0.25">
      <c r="B11" s="121" t="s">
        <v>575</v>
      </c>
    </row>
    <row r="13" spans="2:16" x14ac:dyDescent="0.25">
      <c r="B13" s="192" t="s">
        <v>105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5" spans="2:16" x14ac:dyDescent="0.25">
      <c r="B15" s="55" t="s">
        <v>98</v>
      </c>
      <c r="C15" s="55">
        <v>2014</v>
      </c>
      <c r="D15" s="55">
        <v>2015</v>
      </c>
      <c r="E15" s="55">
        <v>2016</v>
      </c>
      <c r="F15" s="55">
        <v>2017</v>
      </c>
      <c r="G15" s="55">
        <v>2018</v>
      </c>
      <c r="H15" s="55">
        <v>2019</v>
      </c>
      <c r="I15" s="55">
        <v>2020</v>
      </c>
      <c r="J15" s="55">
        <v>2021</v>
      </c>
      <c r="K15" s="55">
        <v>2022</v>
      </c>
      <c r="L15" s="55">
        <v>2023</v>
      </c>
      <c r="M15" s="55">
        <v>2024</v>
      </c>
      <c r="N15" s="55">
        <v>2025</v>
      </c>
      <c r="P15" s="54" t="s">
        <v>106</v>
      </c>
    </row>
    <row r="16" spans="2:16" x14ac:dyDescent="0.25">
      <c r="B16" s="56" t="s">
        <v>99</v>
      </c>
      <c r="C16" s="57"/>
      <c r="D16" s="60">
        <f>+D5/C5-1</f>
        <v>1.2156261064558027E-2</v>
      </c>
      <c r="E16" s="60">
        <f>+E5/D5-1</f>
        <v>-2.4720149253731338E-2</v>
      </c>
      <c r="F16" s="60">
        <f t="shared" ref="F16:N16" si="1">+F5/E5-1</f>
        <v>7.1736011477763206E-4</v>
      </c>
      <c r="G16" s="60">
        <f t="shared" si="1"/>
        <v>-2.6762246117084776E-2</v>
      </c>
      <c r="H16" s="60">
        <f t="shared" si="1"/>
        <v>-5.7697029216793316E-3</v>
      </c>
      <c r="I16" s="60">
        <f t="shared" si="1"/>
        <v>3.3213977034201703E-2</v>
      </c>
      <c r="J16" s="60">
        <f t="shared" si="1"/>
        <v>-1.1830783938814537E-2</v>
      </c>
      <c r="K16" s="60">
        <f t="shared" si="1"/>
        <v>-3.6401015842302598E-2</v>
      </c>
      <c r="L16" s="60">
        <f t="shared" si="1"/>
        <v>8.1576305220882883E-3</v>
      </c>
      <c r="M16" s="60">
        <f t="shared" si="1"/>
        <v>1.5809784638366686E-2</v>
      </c>
      <c r="N16" s="60">
        <f t="shared" si="1"/>
        <v>2.1078431372548945E-2</v>
      </c>
      <c r="P16" s="61">
        <f>+AVERAGE(J16:N16)</f>
        <v>-6.3719064962264316E-4</v>
      </c>
    </row>
    <row r="17" spans="2:16" x14ac:dyDescent="0.25">
      <c r="B17" s="56" t="s">
        <v>100</v>
      </c>
      <c r="C17" s="57"/>
      <c r="D17" s="60">
        <f t="shared" ref="D17:N21" si="2">+D6/C6-1</f>
        <v>7.8268116918103425E-2</v>
      </c>
      <c r="E17" s="60">
        <f t="shared" si="2"/>
        <v>9.5884635504094984E-2</v>
      </c>
      <c r="F17" s="60">
        <f t="shared" si="2"/>
        <v>4.6123594705119508E-2</v>
      </c>
      <c r="G17" s="60">
        <f t="shared" si="2"/>
        <v>3.0912037919856195E-2</v>
      </c>
      <c r="H17" s="60">
        <f t="shared" si="2"/>
        <v>6.8386457473162743E-2</v>
      </c>
      <c r="I17" s="60">
        <f t="shared" si="2"/>
        <v>6.6970883031281181E-2</v>
      </c>
      <c r="J17" s="60">
        <f t="shared" si="2"/>
        <v>0.13376372002457138</v>
      </c>
      <c r="K17" s="60">
        <f t="shared" si="2"/>
        <v>2.8046411776732727E-2</v>
      </c>
      <c r="L17" s="60">
        <f t="shared" si="2"/>
        <v>1.7948858184132499E-2</v>
      </c>
      <c r="M17" s="60">
        <f t="shared" si="2"/>
        <v>3.9875547653819288E-2</v>
      </c>
      <c r="N17" s="60">
        <f t="shared" si="2"/>
        <v>2.5340416437686919E-2</v>
      </c>
      <c r="P17" s="61">
        <f t="shared" ref="P17:P20" si="3">+AVERAGE(J17:N17)</f>
        <v>4.8994990815388564E-2</v>
      </c>
    </row>
    <row r="18" spans="2:16" x14ac:dyDescent="0.25">
      <c r="B18" s="56" t="s">
        <v>101</v>
      </c>
      <c r="C18" s="57"/>
      <c r="D18" s="60">
        <f t="shared" si="2"/>
        <v>4.4222782946959027E-2</v>
      </c>
      <c r="E18" s="60">
        <f t="shared" si="2"/>
        <v>5.9805932768667303E-2</v>
      </c>
      <c r="F18" s="60">
        <f t="shared" si="2"/>
        <v>3.2799344488118942E-2</v>
      </c>
      <c r="G18" s="60">
        <f t="shared" si="2"/>
        <v>2.7537914937163066E-2</v>
      </c>
      <c r="H18" s="60">
        <f t="shared" si="2"/>
        <v>8.4562361524517238E-2</v>
      </c>
      <c r="I18" s="60">
        <f t="shared" si="2"/>
        <v>5.0504008336514472E-2</v>
      </c>
      <c r="J18" s="60">
        <f t="shared" si="2"/>
        <v>0.10537429531124154</v>
      </c>
      <c r="K18" s="60">
        <f t="shared" si="2"/>
        <v>-4.1173909566669886E-2</v>
      </c>
      <c r="L18" s="60">
        <f t="shared" si="2"/>
        <v>5.9029032646669144E-3</v>
      </c>
      <c r="M18" s="60">
        <f t="shared" si="2"/>
        <v>1.206817134960847E-3</v>
      </c>
      <c r="N18" s="60">
        <f t="shared" si="2"/>
        <v>1.1197909478197765E-2</v>
      </c>
      <c r="P18" s="61">
        <f t="shared" si="3"/>
        <v>1.6501603124479437E-2</v>
      </c>
    </row>
    <row r="19" spans="2:16" x14ac:dyDescent="0.25">
      <c r="B19" s="56" t="s">
        <v>102</v>
      </c>
      <c r="C19" s="57"/>
      <c r="D19" s="60">
        <f t="shared" si="2"/>
        <v>4.1571237198046784E-2</v>
      </c>
      <c r="E19" s="60">
        <f t="shared" si="2"/>
        <v>6.1320167613990062E-2</v>
      </c>
      <c r="F19" s="60">
        <f t="shared" si="2"/>
        <v>-9.1865056096321895E-3</v>
      </c>
      <c r="G19" s="60">
        <f t="shared" si="2"/>
        <v>4.7364475656908489E-2</v>
      </c>
      <c r="H19" s="60">
        <f t="shared" si="2"/>
        <v>1.7328084681595968E-3</v>
      </c>
      <c r="I19" s="60">
        <f t="shared" si="2"/>
        <v>3.1832283538591799E-2</v>
      </c>
      <c r="J19" s="60">
        <f t="shared" si="2"/>
        <v>9.3644083239185161E-2</v>
      </c>
      <c r="K19" s="60">
        <f t="shared" si="2"/>
        <v>-1.0163786927037344E-2</v>
      </c>
      <c r="L19" s="60">
        <f t="shared" si="2"/>
        <v>-3.0097463261905211E-2</v>
      </c>
      <c r="M19" s="60">
        <f t="shared" si="2"/>
        <v>0.38192262968812374</v>
      </c>
      <c r="N19" s="60">
        <f t="shared" si="2"/>
        <v>-0.32498587127158551</v>
      </c>
      <c r="P19" s="61">
        <f t="shared" si="3"/>
        <v>2.2063918293356168E-2</v>
      </c>
    </row>
    <row r="20" spans="2:16" x14ac:dyDescent="0.25">
      <c r="B20" s="56" t="s">
        <v>103</v>
      </c>
      <c r="C20" s="57"/>
      <c r="D20" s="60">
        <f t="shared" si="2"/>
        <v>6.1055590256089864E-2</v>
      </c>
      <c r="E20" s="60">
        <f t="shared" si="2"/>
        <v>-8.9955849889624684E-2</v>
      </c>
      <c r="F20" s="60">
        <f t="shared" si="2"/>
        <v>0.15387103294926208</v>
      </c>
      <c r="G20" s="60">
        <f t="shared" si="2"/>
        <v>1.5977015521530413E-2</v>
      </c>
      <c r="H20" s="60">
        <f t="shared" si="2"/>
        <v>2.9071972962720238E-2</v>
      </c>
      <c r="I20" s="60">
        <f t="shared" si="2"/>
        <v>4.8223860589812428E-2</v>
      </c>
      <c r="J20" s="60">
        <f t="shared" si="2"/>
        <v>0.13932670481792897</v>
      </c>
      <c r="K20" s="60">
        <f t="shared" si="2"/>
        <v>-3.928501276762919E-2</v>
      </c>
      <c r="L20" s="60">
        <f t="shared" si="2"/>
        <v>7.302041650845581E-3</v>
      </c>
      <c r="M20" s="60">
        <f t="shared" si="2"/>
        <v>6.0892510221242091E-3</v>
      </c>
      <c r="N20" s="60">
        <f t="shared" si="2"/>
        <v>2.7091679395913282E-2</v>
      </c>
      <c r="P20" s="61">
        <f t="shared" si="3"/>
        <v>2.8104932823836571E-2</v>
      </c>
    </row>
    <row r="21" spans="2:16" x14ac:dyDescent="0.25">
      <c r="B21" s="55" t="s">
        <v>104</v>
      </c>
      <c r="C21" s="22"/>
      <c r="D21" s="62">
        <f t="shared" si="2"/>
        <v>5.904878163976357E-2</v>
      </c>
      <c r="E21" s="62">
        <f t="shared" si="2"/>
        <v>5.9457975986277889E-2</v>
      </c>
      <c r="F21" s="62">
        <f t="shared" si="2"/>
        <v>4.0727644803647323E-2</v>
      </c>
      <c r="G21" s="62">
        <f t="shared" si="2"/>
        <v>2.976571979714393E-2</v>
      </c>
      <c r="H21" s="62">
        <f t="shared" si="2"/>
        <v>5.6792465941742254E-2</v>
      </c>
      <c r="I21" s="62">
        <f t="shared" si="2"/>
        <v>5.4683881592113792E-2</v>
      </c>
      <c r="J21" s="62">
        <f t="shared" si="2"/>
        <v>0.11712898582546538</v>
      </c>
      <c r="K21" s="62">
        <f t="shared" si="2"/>
        <v>-3.5378903690762575E-3</v>
      </c>
      <c r="L21" s="62">
        <f t="shared" si="2"/>
        <v>6.7551113838482113E-3</v>
      </c>
      <c r="M21" s="62">
        <f t="shared" si="2"/>
        <v>7.4107579107264732E-2</v>
      </c>
      <c r="N21" s="62">
        <f t="shared" si="2"/>
        <v>-4.0879242631692736E-2</v>
      </c>
      <c r="P21" s="63">
        <f>+AVERAGE(J21:N21)</f>
        <v>3.0714908663161865E-2</v>
      </c>
    </row>
    <row r="24" spans="2:16" x14ac:dyDescent="0.25">
      <c r="B24" s="192" t="s">
        <v>107</v>
      </c>
      <c r="C24" s="192"/>
      <c r="D24" s="192"/>
      <c r="E24" s="192"/>
      <c r="F24" s="192"/>
      <c r="G24" s="192"/>
      <c r="H24" s="192"/>
    </row>
    <row r="26" spans="2:16" ht="45" x14ac:dyDescent="0.25">
      <c r="B26" s="55" t="s">
        <v>98</v>
      </c>
      <c r="C26" s="54" t="s">
        <v>113</v>
      </c>
      <c r="D26" s="64" t="s">
        <v>110</v>
      </c>
      <c r="E26" s="64" t="s">
        <v>114</v>
      </c>
      <c r="F26" s="64" t="s">
        <v>115</v>
      </c>
      <c r="G26" s="64" t="s">
        <v>116</v>
      </c>
    </row>
    <row r="27" spans="2:16" x14ac:dyDescent="0.25">
      <c r="B27" s="56" t="s">
        <v>99</v>
      </c>
      <c r="C27" s="57">
        <f>N5</f>
        <v>8332</v>
      </c>
      <c r="D27" s="57">
        <v>3</v>
      </c>
      <c r="E27" s="57">
        <f>'19'!G27*(1+($C$34+$C$37)/100)</f>
        <v>5445567.2948800009</v>
      </c>
      <c r="F27" s="57">
        <f>'19'!G27</f>
        <v>5206087.28</v>
      </c>
      <c r="G27" s="57">
        <f>+C27*(E27-F27)*12/10^6</f>
        <v>23944.169807761977</v>
      </c>
    </row>
    <row r="28" spans="2:16" x14ac:dyDescent="0.25">
      <c r="B28" s="56" t="s">
        <v>100</v>
      </c>
      <c r="C28" s="57">
        <f t="shared" ref="C28:C31" si="4">N6</f>
        <v>218296</v>
      </c>
      <c r="D28" s="57">
        <v>12</v>
      </c>
      <c r="E28" s="57">
        <f>'19'!G28*(1+($C$34+$C$37)/100)</f>
        <v>2600874.3371412</v>
      </c>
      <c r="F28" s="57">
        <f>'19'!G28*(1+$I$39/100)</f>
        <v>2486495.5422</v>
      </c>
      <c r="G28" s="57">
        <f t="shared" ref="G28:G31" si="5">+C28*(E28-F28)*12/10^6</f>
        <v>299621.20104581019</v>
      </c>
    </row>
    <row r="29" spans="2:16" x14ac:dyDescent="0.25">
      <c r="B29" s="56" t="s">
        <v>101</v>
      </c>
      <c r="C29" s="57">
        <f t="shared" si="4"/>
        <v>109898</v>
      </c>
      <c r="D29" s="57">
        <v>12</v>
      </c>
      <c r="E29" s="57">
        <f>'19'!G29*(1+($C$34+$C$37)/100)</f>
        <v>2563088.5040229601</v>
      </c>
      <c r="F29" s="57">
        <f>'19'!G29*(1+$I$39/100)</f>
        <v>2450371.4187599998</v>
      </c>
      <c r="G29" s="57">
        <f t="shared" si="5"/>
        <v>148648.58683474571</v>
      </c>
    </row>
    <row r="30" spans="2:16" x14ac:dyDescent="0.25">
      <c r="B30" s="56" t="s">
        <v>102</v>
      </c>
      <c r="C30" s="57">
        <f t="shared" si="4"/>
        <v>53748</v>
      </c>
      <c r="D30" s="57">
        <v>15</v>
      </c>
      <c r="E30" s="57">
        <f>'19'!G30*(1+($C$34+$C$37)/100)</f>
        <v>1204970.419974</v>
      </c>
      <c r="F30" s="57">
        <f>'19'!G30*(1+$I$39/100)</f>
        <v>1151979.3689999999</v>
      </c>
      <c r="G30" s="57">
        <f t="shared" si="5"/>
        <v>34177.956093006629</v>
      </c>
    </row>
    <row r="31" spans="2:16" x14ac:dyDescent="0.25">
      <c r="B31" s="56" t="s">
        <v>103</v>
      </c>
      <c r="C31" s="57">
        <f t="shared" si="4"/>
        <v>35637</v>
      </c>
      <c r="D31" s="57">
        <v>19</v>
      </c>
      <c r="E31" s="57">
        <f>'19'!G31*(1+($C$34+$C$37)/100)</f>
        <v>986153.66333400004</v>
      </c>
      <c r="F31" s="57">
        <f>'19'!G31*(1+$I$39/100)</f>
        <v>942785.52899999998</v>
      </c>
      <c r="G31" s="57">
        <f t="shared" si="5"/>
        <v>18546.122439129122</v>
      </c>
    </row>
    <row r="32" spans="2:16" x14ac:dyDescent="0.25">
      <c r="B32" s="55" t="s">
        <v>104</v>
      </c>
      <c r="C32" s="22">
        <f>+SUM(C27:C31)</f>
        <v>425911</v>
      </c>
      <c r="D32" s="56"/>
      <c r="E32" s="22"/>
      <c r="F32" s="56"/>
      <c r="G32" s="22">
        <f>+SUM(G27:G31)</f>
        <v>524938.03622045368</v>
      </c>
    </row>
    <row r="34" spans="2:3" x14ac:dyDescent="0.25">
      <c r="B34" t="s">
        <v>117</v>
      </c>
      <c r="C34" s="169">
        <v>1.5</v>
      </c>
    </row>
    <row r="35" spans="2:3" x14ac:dyDescent="0.25">
      <c r="B35" s="103" t="s">
        <v>558</v>
      </c>
    </row>
    <row r="37" spans="2:3" x14ac:dyDescent="0.25">
      <c r="B37" t="s">
        <v>557</v>
      </c>
      <c r="C37">
        <v>3.1</v>
      </c>
    </row>
    <row r="38" spans="2:3" x14ac:dyDescent="0.25">
      <c r="B38" s="103" t="s">
        <v>583</v>
      </c>
    </row>
  </sheetData>
  <mergeCells count="3">
    <mergeCell ref="B2:N2"/>
    <mergeCell ref="B13:N13"/>
    <mergeCell ref="B24:H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E8F6-D13D-4CD5-A157-8049A8C1D6A9}">
  <dimension ref="B3:K24"/>
  <sheetViews>
    <sheetView workbookViewId="0">
      <selection activeCell="B21" sqref="B21"/>
    </sheetView>
  </sheetViews>
  <sheetFormatPr baseColWidth="10" defaultColWidth="11.42578125" defaultRowHeight="15" x14ac:dyDescent="0.25"/>
  <cols>
    <col min="1" max="1" width="4" customWidth="1"/>
    <col min="2" max="2" width="59" customWidth="1"/>
    <col min="3" max="3" width="16.5703125" bestFit="1" customWidth="1"/>
    <col min="9" max="9" width="11.42578125" customWidth="1"/>
    <col min="11" max="11" width="105.140625" customWidth="1"/>
  </cols>
  <sheetData>
    <row r="3" spans="2:6" ht="25.5" customHeight="1" x14ac:dyDescent="0.25">
      <c r="B3" s="193" t="s">
        <v>118</v>
      </c>
      <c r="C3" s="193"/>
      <c r="D3" s="193"/>
      <c r="E3" s="193"/>
      <c r="F3" s="193"/>
    </row>
    <row r="4" spans="2:6" x14ac:dyDescent="0.25">
      <c r="B4" s="157" t="s">
        <v>49</v>
      </c>
      <c r="C4" s="157" t="s">
        <v>119</v>
      </c>
      <c r="D4" s="157" t="s">
        <v>120</v>
      </c>
      <c r="E4" s="157" t="s">
        <v>121</v>
      </c>
      <c r="F4" s="157" t="s">
        <v>5</v>
      </c>
    </row>
    <row r="5" spans="2:6" x14ac:dyDescent="0.25">
      <c r="B5" s="157">
        <v>2024</v>
      </c>
      <c r="C5" s="157">
        <v>12.59</v>
      </c>
      <c r="D5" s="157">
        <v>20.93</v>
      </c>
      <c r="E5" s="157">
        <v>11.36</v>
      </c>
      <c r="F5" s="157">
        <v>17.54</v>
      </c>
    </row>
    <row r="6" spans="2:6" x14ac:dyDescent="0.25">
      <c r="B6" s="154" t="s">
        <v>531</v>
      </c>
      <c r="C6" s="155">
        <v>81808</v>
      </c>
      <c r="D6" s="155">
        <v>94229</v>
      </c>
      <c r="E6" s="155">
        <v>19774</v>
      </c>
      <c r="F6" s="155">
        <v>203060</v>
      </c>
    </row>
    <row r="7" spans="2:6" x14ac:dyDescent="0.25">
      <c r="B7" s="154" t="s">
        <v>532</v>
      </c>
      <c r="C7" s="156">
        <v>1029621</v>
      </c>
      <c r="D7" s="156">
        <v>1971993</v>
      </c>
      <c r="E7" s="156">
        <v>224546</v>
      </c>
      <c r="F7" s="156">
        <v>3562198</v>
      </c>
    </row>
    <row r="8" spans="2:6" x14ac:dyDescent="0.25">
      <c r="B8" s="199" t="s">
        <v>533</v>
      </c>
      <c r="C8" s="152"/>
      <c r="D8" s="152"/>
      <c r="E8" s="152"/>
      <c r="F8" s="152"/>
    </row>
    <row r="9" spans="2:6" x14ac:dyDescent="0.25">
      <c r="B9" s="153"/>
      <c r="C9" s="152"/>
      <c r="D9" s="152"/>
      <c r="E9" s="152"/>
      <c r="F9" s="152"/>
    </row>
    <row r="10" spans="2:6" x14ac:dyDescent="0.25">
      <c r="B10" t="s">
        <v>529</v>
      </c>
      <c r="C10" s="151">
        <f>+((D5-E5)/3)+E5</f>
        <v>14.549999999999999</v>
      </c>
    </row>
    <row r="12" spans="2:6" x14ac:dyDescent="0.25">
      <c r="B12" t="s">
        <v>530</v>
      </c>
    </row>
    <row r="13" spans="2:6" x14ac:dyDescent="0.25">
      <c r="B13" s="54"/>
      <c r="C13" s="54" t="s">
        <v>119</v>
      </c>
      <c r="D13" s="54" t="s">
        <v>120</v>
      </c>
      <c r="E13" s="54" t="s">
        <v>121</v>
      </c>
      <c r="F13" s="54" t="s">
        <v>5</v>
      </c>
    </row>
    <row r="14" spans="2:6" x14ac:dyDescent="0.25">
      <c r="B14" s="112" t="s">
        <v>5</v>
      </c>
      <c r="C14" s="139">
        <v>883950.67126099998</v>
      </c>
      <c r="D14" s="139">
        <v>894453.311934</v>
      </c>
      <c r="E14" s="139">
        <v>1000015.4340204</v>
      </c>
      <c r="F14" s="139">
        <v>901531.0238202</v>
      </c>
    </row>
    <row r="17" spans="2:11" x14ac:dyDescent="0.25">
      <c r="B17" s="56" t="s">
        <v>535</v>
      </c>
      <c r="C17" s="109">
        <f>+(C7/C10-C6)*C14*12/1000000</f>
        <v>-117144.7152097668</v>
      </c>
    </row>
    <row r="18" spans="2:11" x14ac:dyDescent="0.25">
      <c r="B18" s="56" t="s">
        <v>534</v>
      </c>
      <c r="C18" s="102">
        <f>+(E7/C10-E6)*E14*12/1000000</f>
        <v>-52096.226722228763</v>
      </c>
      <c r="G18" s="159"/>
    </row>
    <row r="19" spans="2:11" x14ac:dyDescent="0.25">
      <c r="B19" s="55" t="s">
        <v>5</v>
      </c>
      <c r="C19" s="105">
        <f>+SUM(C17:C18)</f>
        <v>-169240.94193199556</v>
      </c>
    </row>
    <row r="21" spans="2:11" x14ac:dyDescent="0.25">
      <c r="B21" s="103" t="s">
        <v>10</v>
      </c>
    </row>
    <row r="24" spans="2:11" ht="44.25" customHeight="1" x14ac:dyDescent="0.25">
      <c r="K24" s="158"/>
    </row>
  </sheetData>
  <mergeCells count="1">
    <mergeCell ref="B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3257-B2AF-4D26-A5C0-628C6827A203}">
  <dimension ref="B2:D9"/>
  <sheetViews>
    <sheetView workbookViewId="0">
      <selection activeCell="C17" sqref="C17"/>
    </sheetView>
  </sheetViews>
  <sheetFormatPr baseColWidth="10" defaultColWidth="11.42578125" defaultRowHeight="15" x14ac:dyDescent="0.25"/>
  <cols>
    <col min="2" max="2" width="34.5703125" customWidth="1"/>
    <col min="3" max="3" width="43" customWidth="1"/>
    <col min="4" max="4" width="45.85546875" customWidth="1"/>
  </cols>
  <sheetData>
    <row r="2" spans="2:4" x14ac:dyDescent="0.25">
      <c r="B2" s="55" t="s">
        <v>544</v>
      </c>
      <c r="C2" s="56"/>
      <c r="D2" s="56"/>
    </row>
    <row r="3" spans="2:4" x14ac:dyDescent="0.25">
      <c r="B3" s="54" t="s">
        <v>551</v>
      </c>
      <c r="C3" s="54" t="s">
        <v>552</v>
      </c>
      <c r="D3" s="54" t="s">
        <v>553</v>
      </c>
    </row>
    <row r="4" spans="2:4" x14ac:dyDescent="0.25">
      <c r="B4" s="112" t="s">
        <v>122</v>
      </c>
      <c r="C4" s="112">
        <v>3007</v>
      </c>
      <c r="D4" s="139">
        <v>22586</v>
      </c>
    </row>
    <row r="5" spans="2:4" x14ac:dyDescent="0.25">
      <c r="B5" s="112" t="s">
        <v>123</v>
      </c>
      <c r="C5" s="112">
        <v>1342</v>
      </c>
      <c r="D5" s="139">
        <v>10943</v>
      </c>
    </row>
    <row r="6" spans="2:4" x14ac:dyDescent="0.25">
      <c r="B6" s="163" t="s">
        <v>124</v>
      </c>
      <c r="C6" s="163">
        <v>3067</v>
      </c>
      <c r="D6" s="164">
        <v>12254</v>
      </c>
    </row>
    <row r="7" spans="2:4" x14ac:dyDescent="0.25">
      <c r="B7" s="54" t="s">
        <v>5</v>
      </c>
      <c r="C7" s="54">
        <f>+SUM(C4:C6)</f>
        <v>7416</v>
      </c>
      <c r="D7" s="165">
        <f>+SUM(D4:D6)</f>
        <v>45783</v>
      </c>
    </row>
    <row r="8" spans="2:4" x14ac:dyDescent="0.25">
      <c r="B8" s="158"/>
    </row>
    <row r="9" spans="2:4" x14ac:dyDescent="0.25">
      <c r="B9" s="107" t="s">
        <v>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D4CB2-0443-4B4E-8F69-9170EA541156}">
  <dimension ref="B2:F26"/>
  <sheetViews>
    <sheetView workbookViewId="0">
      <selection activeCell="B26" sqref="B26"/>
    </sheetView>
  </sheetViews>
  <sheetFormatPr baseColWidth="10" defaultColWidth="11.42578125" defaultRowHeight="15" x14ac:dyDescent="0.25"/>
  <cols>
    <col min="1" max="1" width="5.7109375" customWidth="1"/>
    <col min="2" max="2" width="43.5703125" bestFit="1" customWidth="1"/>
    <col min="3" max="3" width="52.7109375" bestFit="1" customWidth="1"/>
    <col min="4" max="4" width="9.140625" bestFit="1" customWidth="1"/>
    <col min="5" max="5" width="16.42578125" bestFit="1" customWidth="1"/>
  </cols>
  <sheetData>
    <row r="2" spans="2:6" x14ac:dyDescent="0.25">
      <c r="B2" s="27" t="s">
        <v>545</v>
      </c>
    </row>
    <row r="3" spans="2:6" x14ac:dyDescent="0.25">
      <c r="B3" s="27" t="s">
        <v>125</v>
      </c>
      <c r="C3" s="194"/>
      <c r="D3" s="194"/>
      <c r="E3" s="194"/>
      <c r="F3" s="194"/>
    </row>
    <row r="4" spans="2:6" ht="15.75" x14ac:dyDescent="0.25">
      <c r="B4" s="112"/>
      <c r="C4" s="132" t="s">
        <v>126</v>
      </c>
      <c r="D4" s="132" t="s">
        <v>127</v>
      </c>
      <c r="E4" s="132" t="s">
        <v>128</v>
      </c>
      <c r="F4" s="130"/>
    </row>
    <row r="5" spans="2:6" ht="15.75" x14ac:dyDescent="0.25">
      <c r="B5" s="112" t="s">
        <v>129</v>
      </c>
      <c r="C5" s="138">
        <v>13.84</v>
      </c>
      <c r="D5" s="138">
        <v>5.81</v>
      </c>
      <c r="E5" s="138">
        <v>8.0299999999999994</v>
      </c>
      <c r="F5" s="130"/>
    </row>
    <row r="6" spans="2:6" ht="15.75" x14ac:dyDescent="0.25">
      <c r="B6" s="112" t="s">
        <v>130</v>
      </c>
      <c r="C6" s="138">
        <v>34.85</v>
      </c>
      <c r="D6" s="138">
        <v>16.46</v>
      </c>
      <c r="E6" s="138">
        <v>18.38</v>
      </c>
      <c r="F6" s="130"/>
    </row>
    <row r="7" spans="2:6" ht="15.75" x14ac:dyDescent="0.25">
      <c r="B7" s="163" t="s">
        <v>131</v>
      </c>
      <c r="C7" s="180">
        <v>21.01</v>
      </c>
      <c r="D7" s="180">
        <v>10.65</v>
      </c>
      <c r="E7" s="180">
        <v>10.35</v>
      </c>
      <c r="F7" s="130"/>
    </row>
    <row r="8" spans="2:6" x14ac:dyDescent="0.25">
      <c r="B8" s="181" t="s">
        <v>584</v>
      </c>
      <c r="C8" s="181"/>
      <c r="D8" s="97"/>
      <c r="E8" s="97"/>
    </row>
    <row r="10" spans="2:6" x14ac:dyDescent="0.25">
      <c r="B10" s="134" t="s">
        <v>132</v>
      </c>
      <c r="C10" s="52"/>
      <c r="D10" s="52"/>
      <c r="E10" s="52"/>
    </row>
    <row r="11" spans="2:6" x14ac:dyDescent="0.25">
      <c r="B11" s="131"/>
      <c r="C11" s="131" t="s">
        <v>126</v>
      </c>
      <c r="D11" s="131" t="s">
        <v>127</v>
      </c>
      <c r="E11" s="131" t="s">
        <v>5</v>
      </c>
    </row>
    <row r="12" spans="2:6" x14ac:dyDescent="0.25">
      <c r="B12" s="131" t="s">
        <v>129</v>
      </c>
      <c r="C12" s="135">
        <v>5241117</v>
      </c>
      <c r="D12" s="135">
        <v>1394526</v>
      </c>
      <c r="E12" s="135">
        <f>+SUM(C12:D12)</f>
        <v>6635643</v>
      </c>
    </row>
    <row r="13" spans="2:6" x14ac:dyDescent="0.25">
      <c r="B13" s="131" t="s">
        <v>133</v>
      </c>
      <c r="C13" s="135">
        <v>275419</v>
      </c>
      <c r="D13" s="135">
        <v>132470</v>
      </c>
      <c r="E13" s="135">
        <f t="shared" ref="E13:E14" si="0">+SUM(C13:D13)</f>
        <v>407889</v>
      </c>
    </row>
    <row r="14" spans="2:6" x14ac:dyDescent="0.25">
      <c r="B14" s="182" t="s">
        <v>5</v>
      </c>
      <c r="C14" s="183">
        <v>5516536</v>
      </c>
      <c r="D14" s="183">
        <v>1526996</v>
      </c>
      <c r="E14" s="183">
        <f t="shared" si="0"/>
        <v>7043532</v>
      </c>
    </row>
    <row r="15" spans="2:6" x14ac:dyDescent="0.25">
      <c r="B15" s="181" t="s">
        <v>584</v>
      </c>
      <c r="C15" s="97"/>
      <c r="D15" s="97"/>
      <c r="E15" s="97"/>
    </row>
    <row r="17" spans="2:5" x14ac:dyDescent="0.25">
      <c r="B17" s="131" t="s">
        <v>134</v>
      </c>
      <c r="C17" s="137">
        <v>40737</v>
      </c>
    </row>
    <row r="18" spans="2:5" x14ac:dyDescent="0.25">
      <c r="B18" s="182" t="s">
        <v>135</v>
      </c>
      <c r="C18" s="184">
        <v>32020</v>
      </c>
    </row>
    <row r="19" spans="2:5" x14ac:dyDescent="0.25">
      <c r="B19" s="181" t="s">
        <v>584</v>
      </c>
      <c r="C19" s="122"/>
    </row>
    <row r="20" spans="2:5" x14ac:dyDescent="0.25">
      <c r="B20" s="133"/>
    </row>
    <row r="21" spans="2:5" x14ac:dyDescent="0.25">
      <c r="B21" s="112" t="s">
        <v>136</v>
      </c>
      <c r="C21" s="166" t="s">
        <v>137</v>
      </c>
      <c r="D21" s="102">
        <f>+C7*C17*C13/1000000</f>
        <v>235726.81730103004</v>
      </c>
    </row>
    <row r="22" spans="2:5" x14ac:dyDescent="0.25">
      <c r="B22" s="112" t="s">
        <v>138</v>
      </c>
      <c r="C22" s="166" t="s">
        <v>139</v>
      </c>
      <c r="D22" s="102">
        <f>+(C18*E5*C12/1000000)*0.25</f>
        <v>336899.78692754998</v>
      </c>
    </row>
    <row r="23" spans="2:5" x14ac:dyDescent="0.25">
      <c r="B23" s="56"/>
      <c r="C23" s="56" t="s">
        <v>5</v>
      </c>
      <c r="D23" s="105">
        <f>+SUM(D21:D22)</f>
        <v>572626.60422858002</v>
      </c>
      <c r="E23" s="136"/>
    </row>
    <row r="25" spans="2:5" x14ac:dyDescent="0.25">
      <c r="D25" s="129"/>
    </row>
    <row r="26" spans="2:5" x14ac:dyDescent="0.25">
      <c r="B26" s="107" t="s">
        <v>47</v>
      </c>
    </row>
  </sheetData>
  <mergeCells count="1">
    <mergeCell ref="C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C9DC-D454-4CC8-846E-1B206DD9E6E4}">
  <dimension ref="A1:H69"/>
  <sheetViews>
    <sheetView topLeftCell="A38" zoomScale="90" zoomScaleNormal="90" workbookViewId="0">
      <selection activeCell="C75" sqref="C75"/>
    </sheetView>
  </sheetViews>
  <sheetFormatPr baseColWidth="10" defaultColWidth="11.42578125" defaultRowHeight="15" x14ac:dyDescent="0.25"/>
  <cols>
    <col min="1" max="1" width="11.7109375" customWidth="1"/>
    <col min="2" max="2" width="50.140625" customWidth="1"/>
    <col min="3" max="3" width="49.42578125" customWidth="1"/>
    <col min="4" max="4" width="48.5703125" customWidth="1"/>
    <col min="5" max="5" width="12" customWidth="1"/>
    <col min="6" max="6" width="15.42578125" customWidth="1"/>
    <col min="7" max="7" width="34" customWidth="1"/>
    <col min="8" max="8" width="62.85546875" customWidth="1"/>
  </cols>
  <sheetData>
    <row r="1" spans="1:8" ht="15.75" x14ac:dyDescent="0.25">
      <c r="A1" s="67" t="s">
        <v>546</v>
      </c>
    </row>
    <row r="3" spans="1:8" ht="40.5" x14ac:dyDescent="0.25">
      <c r="A3" s="68" t="s">
        <v>140</v>
      </c>
      <c r="B3" s="68" t="s">
        <v>141</v>
      </c>
      <c r="C3" s="68" t="s">
        <v>142</v>
      </c>
      <c r="D3" s="68" t="s">
        <v>143</v>
      </c>
      <c r="E3" s="68" t="s">
        <v>144</v>
      </c>
      <c r="F3" s="68" t="s">
        <v>145</v>
      </c>
      <c r="G3" s="68" t="s">
        <v>146</v>
      </c>
      <c r="H3" s="68" t="s">
        <v>147</v>
      </c>
    </row>
    <row r="4" spans="1:8" x14ac:dyDescent="0.25">
      <c r="A4" s="69">
        <v>60159</v>
      </c>
      <c r="B4" s="69" t="s">
        <v>148</v>
      </c>
      <c r="C4" s="69" t="s">
        <v>149</v>
      </c>
      <c r="D4" s="69" t="s">
        <v>150</v>
      </c>
      <c r="E4" s="69" t="s">
        <v>151</v>
      </c>
      <c r="F4" s="70">
        <v>972442660.85280001</v>
      </c>
      <c r="G4" s="69" t="s">
        <v>152</v>
      </c>
      <c r="H4" s="56" t="s">
        <v>153</v>
      </c>
    </row>
    <row r="5" spans="1:8" x14ac:dyDescent="0.25">
      <c r="A5" s="69">
        <v>70146</v>
      </c>
      <c r="B5" s="69" t="s">
        <v>154</v>
      </c>
      <c r="C5" s="69" t="s">
        <v>155</v>
      </c>
      <c r="D5" s="69" t="s">
        <v>156</v>
      </c>
      <c r="E5" s="69" t="s">
        <v>151</v>
      </c>
      <c r="F5" s="70">
        <v>213751157.50440001</v>
      </c>
      <c r="G5" s="69" t="s">
        <v>152</v>
      </c>
      <c r="H5" s="56" t="s">
        <v>157</v>
      </c>
    </row>
    <row r="6" spans="1:8" x14ac:dyDescent="0.25">
      <c r="A6" s="69">
        <v>900</v>
      </c>
      <c r="B6" s="69" t="s">
        <v>158</v>
      </c>
      <c r="C6" s="69" t="s">
        <v>155</v>
      </c>
      <c r="D6" s="69" t="s">
        <v>156</v>
      </c>
      <c r="E6" s="69" t="s">
        <v>151</v>
      </c>
      <c r="F6" s="70">
        <v>162375422.83919999</v>
      </c>
      <c r="G6" s="69" t="s">
        <v>159</v>
      </c>
      <c r="H6" s="56" t="s">
        <v>157</v>
      </c>
    </row>
    <row r="7" spans="1:8" x14ac:dyDescent="0.25">
      <c r="A7" s="69">
        <v>912</v>
      </c>
      <c r="B7" s="69" t="s">
        <v>160</v>
      </c>
      <c r="C7" s="69" t="s">
        <v>155</v>
      </c>
      <c r="D7" s="69" t="s">
        <v>156</v>
      </c>
      <c r="E7" s="69" t="s">
        <v>151</v>
      </c>
      <c r="F7" s="70">
        <v>126941073.0696</v>
      </c>
      <c r="G7" s="69" t="s">
        <v>152</v>
      </c>
      <c r="H7" s="56" t="s">
        <v>157</v>
      </c>
    </row>
    <row r="8" spans="1:8" x14ac:dyDescent="0.25">
      <c r="A8" s="69">
        <v>60221</v>
      </c>
      <c r="B8" s="69" t="s">
        <v>161</v>
      </c>
      <c r="C8" s="69" t="s">
        <v>162</v>
      </c>
      <c r="D8" s="69" t="s">
        <v>163</v>
      </c>
      <c r="E8" s="69" t="s">
        <v>151</v>
      </c>
      <c r="F8" s="70">
        <v>123097627.06560001</v>
      </c>
      <c r="G8" s="69" t="s">
        <v>152</v>
      </c>
      <c r="H8" s="56" t="s">
        <v>164</v>
      </c>
    </row>
    <row r="9" spans="1:8" x14ac:dyDescent="0.25">
      <c r="A9" s="69">
        <v>74164</v>
      </c>
      <c r="B9" s="69" t="s">
        <v>165</v>
      </c>
      <c r="C9" s="69" t="s">
        <v>149</v>
      </c>
      <c r="D9" s="69" t="s">
        <v>166</v>
      </c>
      <c r="E9" s="69" t="s">
        <v>151</v>
      </c>
      <c r="F9" s="70">
        <v>102160844.1684</v>
      </c>
      <c r="G9" s="69" t="s">
        <v>152</v>
      </c>
      <c r="H9" s="56" t="s">
        <v>153</v>
      </c>
    </row>
    <row r="10" spans="1:8" x14ac:dyDescent="0.25">
      <c r="A10" s="69">
        <v>59921</v>
      </c>
      <c r="B10" s="69" t="s">
        <v>167</v>
      </c>
      <c r="C10" s="69" t="s">
        <v>149</v>
      </c>
      <c r="D10" s="69" t="s">
        <v>168</v>
      </c>
      <c r="E10" s="69" t="s">
        <v>151</v>
      </c>
      <c r="F10" s="70">
        <v>21669958.090799998</v>
      </c>
      <c r="G10" s="69" t="s">
        <v>152</v>
      </c>
      <c r="H10" s="56"/>
    </row>
    <row r="11" spans="1:8" x14ac:dyDescent="0.25">
      <c r="A11" s="69">
        <v>59465</v>
      </c>
      <c r="B11" s="69" t="s">
        <v>169</v>
      </c>
      <c r="C11" s="69" t="s">
        <v>162</v>
      </c>
      <c r="D11" s="69" t="s">
        <v>163</v>
      </c>
      <c r="E11" s="69" t="s">
        <v>151</v>
      </c>
      <c r="F11" s="70">
        <v>18458402.115600001</v>
      </c>
      <c r="G11" s="69" t="s">
        <v>152</v>
      </c>
      <c r="H11" s="56"/>
    </row>
    <row r="12" spans="1:8" x14ac:dyDescent="0.25">
      <c r="A12" s="69">
        <v>3325</v>
      </c>
      <c r="B12" s="69" t="s">
        <v>170</v>
      </c>
      <c r="C12" s="69" t="s">
        <v>149</v>
      </c>
      <c r="D12" s="69" t="s">
        <v>168</v>
      </c>
      <c r="E12" s="69" t="s">
        <v>151</v>
      </c>
      <c r="F12" s="70">
        <v>17364422.493000001</v>
      </c>
      <c r="G12" s="69" t="s">
        <v>152</v>
      </c>
      <c r="H12" s="56"/>
    </row>
    <row r="13" spans="1:8" x14ac:dyDescent="0.25">
      <c r="A13" s="69">
        <v>59920</v>
      </c>
      <c r="B13" s="69" t="s">
        <v>171</v>
      </c>
      <c r="C13" s="69" t="s">
        <v>149</v>
      </c>
      <c r="D13" s="69" t="s">
        <v>168</v>
      </c>
      <c r="E13" s="69" t="s">
        <v>151</v>
      </c>
      <c r="F13" s="70">
        <v>16502434.506000001</v>
      </c>
      <c r="G13" s="69" t="s">
        <v>152</v>
      </c>
      <c r="H13" s="56"/>
    </row>
    <row r="14" spans="1:8" x14ac:dyDescent="0.25">
      <c r="A14" s="69">
        <v>59995</v>
      </c>
      <c r="B14" s="69" t="s">
        <v>172</v>
      </c>
      <c r="C14" s="69" t="s">
        <v>149</v>
      </c>
      <c r="D14" s="69" t="s">
        <v>168</v>
      </c>
      <c r="E14" s="69" t="s">
        <v>151</v>
      </c>
      <c r="F14" s="70">
        <v>12438683.055</v>
      </c>
      <c r="G14" s="69" t="s">
        <v>173</v>
      </c>
      <c r="H14" s="56"/>
    </row>
    <row r="15" spans="1:8" x14ac:dyDescent="0.25">
      <c r="A15" s="69">
        <v>571</v>
      </c>
      <c r="B15" s="69" t="s">
        <v>174</v>
      </c>
      <c r="C15" s="69" t="s">
        <v>149</v>
      </c>
      <c r="D15" s="69" t="s">
        <v>150</v>
      </c>
      <c r="E15" s="69" t="s">
        <v>151</v>
      </c>
      <c r="F15" s="70">
        <v>10938616.455600001</v>
      </c>
      <c r="G15" s="69" t="s">
        <v>152</v>
      </c>
      <c r="H15" s="56"/>
    </row>
    <row r="16" spans="1:8" x14ac:dyDescent="0.25">
      <c r="A16" s="69">
        <v>60679</v>
      </c>
      <c r="B16" s="69" t="s">
        <v>175</v>
      </c>
      <c r="C16" s="69" t="s">
        <v>176</v>
      </c>
      <c r="D16" s="69" t="s">
        <v>177</v>
      </c>
      <c r="E16" s="69" t="s">
        <v>151</v>
      </c>
      <c r="F16" s="70">
        <v>7207740.5580000002</v>
      </c>
      <c r="G16" s="69" t="s">
        <v>152</v>
      </c>
      <c r="H16" s="56"/>
    </row>
    <row r="17" spans="1:8" x14ac:dyDescent="0.25">
      <c r="A17" s="69">
        <v>575</v>
      </c>
      <c r="B17" s="69" t="s">
        <v>178</v>
      </c>
      <c r="C17" s="69" t="s">
        <v>149</v>
      </c>
      <c r="D17" s="69" t="s">
        <v>150</v>
      </c>
      <c r="E17" s="69" t="s">
        <v>151</v>
      </c>
      <c r="F17" s="70">
        <v>7017080.4900000002</v>
      </c>
      <c r="G17" s="69" t="s">
        <v>152</v>
      </c>
      <c r="H17" s="56"/>
    </row>
    <row r="18" spans="1:8" x14ac:dyDescent="0.25">
      <c r="A18" s="69">
        <v>585</v>
      </c>
      <c r="B18" s="69" t="s">
        <v>179</v>
      </c>
      <c r="C18" s="69" t="s">
        <v>149</v>
      </c>
      <c r="D18" s="69" t="s">
        <v>150</v>
      </c>
      <c r="E18" s="69" t="s">
        <v>151</v>
      </c>
      <c r="F18" s="70">
        <v>6971098.6260000002</v>
      </c>
      <c r="G18" s="69" t="s">
        <v>159</v>
      </c>
      <c r="H18" s="56"/>
    </row>
    <row r="19" spans="1:8" x14ac:dyDescent="0.25">
      <c r="A19" s="69">
        <v>59481</v>
      </c>
      <c r="B19" s="69" t="s">
        <v>180</v>
      </c>
      <c r="C19" s="69" t="s">
        <v>176</v>
      </c>
      <c r="D19" s="69" t="s">
        <v>177</v>
      </c>
      <c r="E19" s="69" t="s">
        <v>151</v>
      </c>
      <c r="F19" s="70">
        <v>6750736.9002</v>
      </c>
      <c r="G19" s="69" t="s">
        <v>152</v>
      </c>
      <c r="H19" s="56"/>
    </row>
    <row r="20" spans="1:8" x14ac:dyDescent="0.25">
      <c r="A20" s="69">
        <v>468</v>
      </c>
      <c r="B20" s="69" t="s">
        <v>181</v>
      </c>
      <c r="C20" s="69" t="s">
        <v>149</v>
      </c>
      <c r="D20" s="69" t="s">
        <v>150</v>
      </c>
      <c r="E20" s="69" t="s">
        <v>151</v>
      </c>
      <c r="F20" s="70">
        <v>6006852.0593999997</v>
      </c>
      <c r="G20" s="69" t="s">
        <v>152</v>
      </c>
      <c r="H20" s="56"/>
    </row>
    <row r="21" spans="1:8" x14ac:dyDescent="0.25">
      <c r="A21" s="69">
        <v>60062</v>
      </c>
      <c r="B21" s="69" t="s">
        <v>182</v>
      </c>
      <c r="C21" s="69" t="s">
        <v>183</v>
      </c>
      <c r="D21" s="69" t="s">
        <v>184</v>
      </c>
      <c r="E21" s="69" t="s">
        <v>151</v>
      </c>
      <c r="F21" s="70">
        <v>5975256.7242000001</v>
      </c>
      <c r="G21" s="69" t="s">
        <v>159</v>
      </c>
      <c r="H21" s="56"/>
    </row>
    <row r="22" spans="1:8" x14ac:dyDescent="0.25">
      <c r="A22" s="69">
        <v>87318</v>
      </c>
      <c r="B22" s="69" t="s">
        <v>185</v>
      </c>
      <c r="C22" s="69" t="s">
        <v>186</v>
      </c>
      <c r="D22" s="69" t="s">
        <v>187</v>
      </c>
      <c r="E22" s="69" t="s">
        <v>188</v>
      </c>
      <c r="F22" s="70">
        <v>5650418.6172000002</v>
      </c>
      <c r="G22" s="69" t="s">
        <v>173</v>
      </c>
      <c r="H22" s="56"/>
    </row>
    <row r="23" spans="1:8" x14ac:dyDescent="0.25">
      <c r="A23" s="69">
        <v>125288</v>
      </c>
      <c r="B23" s="69" t="s">
        <v>189</v>
      </c>
      <c r="C23" s="69" t="s">
        <v>190</v>
      </c>
      <c r="D23" s="69" t="s">
        <v>191</v>
      </c>
      <c r="E23" s="69" t="s">
        <v>188</v>
      </c>
      <c r="F23" s="70">
        <v>5000094.1547999997</v>
      </c>
      <c r="G23" s="69" t="s">
        <v>152</v>
      </c>
      <c r="H23" s="56"/>
    </row>
    <row r="24" spans="1:8" x14ac:dyDescent="0.25">
      <c r="A24" s="69">
        <v>87282</v>
      </c>
      <c r="B24" s="69" t="s">
        <v>192</v>
      </c>
      <c r="C24" s="69" t="s">
        <v>193</v>
      </c>
      <c r="D24" s="69" t="s">
        <v>194</v>
      </c>
      <c r="E24" s="69" t="s">
        <v>188</v>
      </c>
      <c r="F24" s="70">
        <v>4947791.3477999996</v>
      </c>
      <c r="G24" s="69" t="s">
        <v>152</v>
      </c>
      <c r="H24" s="56"/>
    </row>
    <row r="25" spans="1:8" x14ac:dyDescent="0.25">
      <c r="A25" s="69">
        <v>63415</v>
      </c>
      <c r="B25" s="69" t="s">
        <v>195</v>
      </c>
      <c r="C25" s="69" t="s">
        <v>196</v>
      </c>
      <c r="D25" s="69" t="s">
        <v>197</v>
      </c>
      <c r="E25" s="69" t="s">
        <v>151</v>
      </c>
      <c r="F25" s="70">
        <v>4897104.9929999998</v>
      </c>
      <c r="G25" s="69" t="s">
        <v>152</v>
      </c>
      <c r="H25" s="56"/>
    </row>
    <row r="26" spans="1:8" x14ac:dyDescent="0.25">
      <c r="A26" s="69">
        <v>87153</v>
      </c>
      <c r="B26" s="69" t="s">
        <v>198</v>
      </c>
      <c r="C26" s="69" t="s">
        <v>190</v>
      </c>
      <c r="D26" s="69" t="s">
        <v>191</v>
      </c>
      <c r="E26" s="69" t="s">
        <v>188</v>
      </c>
      <c r="F26" s="70">
        <v>4554835.0488</v>
      </c>
      <c r="G26" s="69" t="s">
        <v>199</v>
      </c>
      <c r="H26" s="56"/>
    </row>
    <row r="27" spans="1:8" x14ac:dyDescent="0.25">
      <c r="A27" s="69">
        <v>1314</v>
      </c>
      <c r="B27" s="69" t="s">
        <v>200</v>
      </c>
      <c r="C27" s="69" t="s">
        <v>201</v>
      </c>
      <c r="D27" s="69" t="s">
        <v>202</v>
      </c>
      <c r="E27" s="69" t="s">
        <v>151</v>
      </c>
      <c r="F27" s="70">
        <v>4218584.8518000003</v>
      </c>
      <c r="G27" s="69" t="s">
        <v>152</v>
      </c>
      <c r="H27" s="56"/>
    </row>
    <row r="28" spans="1:8" x14ac:dyDescent="0.25">
      <c r="A28" s="69">
        <v>80544</v>
      </c>
      <c r="B28" s="69" t="s">
        <v>203</v>
      </c>
      <c r="C28" s="69" t="s">
        <v>201</v>
      </c>
      <c r="D28" s="69" t="s">
        <v>204</v>
      </c>
      <c r="E28" s="69" t="s">
        <v>151</v>
      </c>
      <c r="F28" s="70">
        <v>3154327.7310000001</v>
      </c>
      <c r="G28" s="69" t="s">
        <v>152</v>
      </c>
      <c r="H28" s="56"/>
    </row>
    <row r="29" spans="1:8" x14ac:dyDescent="0.25">
      <c r="A29" s="69">
        <v>63251</v>
      </c>
      <c r="B29" s="69" t="s">
        <v>205</v>
      </c>
      <c r="C29" s="69" t="s">
        <v>162</v>
      </c>
      <c r="D29" s="69" t="s">
        <v>206</v>
      </c>
      <c r="E29" s="69" t="s">
        <v>151</v>
      </c>
      <c r="F29" s="70">
        <v>3105496.4922000002</v>
      </c>
      <c r="G29" s="69" t="s">
        <v>152</v>
      </c>
      <c r="H29" s="56"/>
    </row>
    <row r="30" spans="1:8" x14ac:dyDescent="0.25">
      <c r="A30" s="69">
        <v>74165</v>
      </c>
      <c r="B30" s="69" t="s">
        <v>207</v>
      </c>
      <c r="C30" s="69" t="s">
        <v>149</v>
      </c>
      <c r="D30" s="69" t="s">
        <v>166</v>
      </c>
      <c r="E30" s="69" t="s">
        <v>151</v>
      </c>
      <c r="F30" s="70">
        <v>2956158.6120000002</v>
      </c>
      <c r="G30" s="69" t="s">
        <v>152</v>
      </c>
      <c r="H30" s="56"/>
    </row>
    <row r="31" spans="1:8" x14ac:dyDescent="0.25">
      <c r="A31" s="69">
        <v>86564</v>
      </c>
      <c r="B31" s="69" t="s">
        <v>208</v>
      </c>
      <c r="C31" s="69" t="s">
        <v>196</v>
      </c>
      <c r="D31" s="69" t="s">
        <v>209</v>
      </c>
      <c r="E31" s="69" t="s">
        <v>151</v>
      </c>
      <c r="F31" s="70">
        <v>2495543.7311999998</v>
      </c>
      <c r="G31" s="69" t="s">
        <v>173</v>
      </c>
      <c r="H31" s="56"/>
    </row>
    <row r="32" spans="1:8" x14ac:dyDescent="0.25">
      <c r="A32" s="69">
        <v>60266</v>
      </c>
      <c r="B32" s="69" t="s">
        <v>210</v>
      </c>
      <c r="C32" s="69" t="s">
        <v>196</v>
      </c>
      <c r="D32" s="69" t="s">
        <v>197</v>
      </c>
      <c r="E32" s="69" t="s">
        <v>151</v>
      </c>
      <c r="F32" s="70">
        <v>2393937.5688</v>
      </c>
      <c r="G32" s="69" t="s">
        <v>152</v>
      </c>
      <c r="H32" s="56"/>
    </row>
    <row r="33" spans="1:8" x14ac:dyDescent="0.25">
      <c r="A33" s="69">
        <v>80543</v>
      </c>
      <c r="B33" s="69" t="s">
        <v>211</v>
      </c>
      <c r="C33" s="69" t="s">
        <v>201</v>
      </c>
      <c r="D33" s="69" t="s">
        <v>204</v>
      </c>
      <c r="E33" s="69" t="s">
        <v>151</v>
      </c>
      <c r="F33" s="70">
        <v>2123673.2226</v>
      </c>
      <c r="G33" s="69" t="s">
        <v>152</v>
      </c>
      <c r="H33" s="56"/>
    </row>
    <row r="34" spans="1:8" x14ac:dyDescent="0.25">
      <c r="A34" s="69">
        <v>59473</v>
      </c>
      <c r="B34" s="69" t="s">
        <v>212</v>
      </c>
      <c r="C34" s="69" t="s">
        <v>162</v>
      </c>
      <c r="D34" s="69" t="s">
        <v>163</v>
      </c>
      <c r="E34" s="69" t="s">
        <v>151</v>
      </c>
      <c r="F34" s="70">
        <v>1965257.7804</v>
      </c>
      <c r="G34" s="69" t="s">
        <v>152</v>
      </c>
      <c r="H34" s="56"/>
    </row>
    <row r="35" spans="1:8" x14ac:dyDescent="0.25">
      <c r="A35" s="69">
        <v>69963</v>
      </c>
      <c r="B35" s="69" t="s">
        <v>213</v>
      </c>
      <c r="C35" s="69" t="s">
        <v>183</v>
      </c>
      <c r="D35" s="69" t="s">
        <v>184</v>
      </c>
      <c r="E35" s="69" t="s">
        <v>151</v>
      </c>
      <c r="F35" s="70">
        <v>1575244.6542</v>
      </c>
      <c r="G35" s="69" t="s">
        <v>152</v>
      </c>
      <c r="H35" s="56"/>
    </row>
    <row r="36" spans="1:8" x14ac:dyDescent="0.25">
      <c r="A36" s="69">
        <v>59567</v>
      </c>
      <c r="B36" s="69" t="s">
        <v>214</v>
      </c>
      <c r="C36" s="69" t="s">
        <v>183</v>
      </c>
      <c r="D36" s="69" t="s">
        <v>184</v>
      </c>
      <c r="E36" s="69" t="s">
        <v>151</v>
      </c>
      <c r="F36" s="70">
        <v>1465531.2180000001</v>
      </c>
      <c r="G36" s="69" t="s">
        <v>152</v>
      </c>
      <c r="H36" s="56"/>
    </row>
    <row r="37" spans="1:8" x14ac:dyDescent="0.25">
      <c r="A37" s="69">
        <v>74524</v>
      </c>
      <c r="B37" s="69" t="s">
        <v>215</v>
      </c>
      <c r="C37" s="69" t="s">
        <v>183</v>
      </c>
      <c r="D37" s="69" t="s">
        <v>184</v>
      </c>
      <c r="E37" s="69" t="s">
        <v>151</v>
      </c>
      <c r="F37" s="70">
        <v>1422910.449</v>
      </c>
      <c r="G37" s="69" t="s">
        <v>152</v>
      </c>
      <c r="H37" s="56"/>
    </row>
    <row r="38" spans="1:8" x14ac:dyDescent="0.25">
      <c r="A38" s="69">
        <v>60059</v>
      </c>
      <c r="B38" s="69" t="s">
        <v>216</v>
      </c>
      <c r="C38" s="69" t="s">
        <v>183</v>
      </c>
      <c r="D38" s="69" t="s">
        <v>184</v>
      </c>
      <c r="E38" s="69" t="s">
        <v>151</v>
      </c>
      <c r="F38" s="70">
        <v>1390937.8374000001</v>
      </c>
      <c r="G38" s="69" t="s">
        <v>173</v>
      </c>
      <c r="H38" s="56"/>
    </row>
    <row r="39" spans="1:8" x14ac:dyDescent="0.25">
      <c r="A39" s="69">
        <v>93120</v>
      </c>
      <c r="B39" s="69" t="s">
        <v>217</v>
      </c>
      <c r="C39" s="69" t="s">
        <v>218</v>
      </c>
      <c r="D39" s="69" t="s">
        <v>219</v>
      </c>
      <c r="E39" s="69" t="s">
        <v>188</v>
      </c>
      <c r="F39" s="70">
        <v>1371190.2318</v>
      </c>
      <c r="G39" s="69" t="s">
        <v>152</v>
      </c>
      <c r="H39" s="56"/>
    </row>
    <row r="40" spans="1:8" x14ac:dyDescent="0.25">
      <c r="A40" s="69">
        <v>65063</v>
      </c>
      <c r="B40" s="69" t="s">
        <v>220</v>
      </c>
      <c r="C40" s="69" t="s">
        <v>221</v>
      </c>
      <c r="D40" s="69" t="s">
        <v>222</v>
      </c>
      <c r="E40" s="69" t="s">
        <v>151</v>
      </c>
      <c r="F40" s="70">
        <v>1296789.6581999999</v>
      </c>
      <c r="G40" s="69" t="s">
        <v>152</v>
      </c>
      <c r="H40" s="56"/>
    </row>
    <row r="41" spans="1:8" x14ac:dyDescent="0.25">
      <c r="A41" s="69">
        <v>87333</v>
      </c>
      <c r="B41" s="69" t="s">
        <v>223</v>
      </c>
      <c r="C41" s="69" t="s">
        <v>190</v>
      </c>
      <c r="D41" s="69" t="s">
        <v>191</v>
      </c>
      <c r="E41" s="69" t="s">
        <v>188</v>
      </c>
      <c r="F41" s="70">
        <v>1273058.7642000001</v>
      </c>
      <c r="G41" s="69" t="s">
        <v>152</v>
      </c>
      <c r="H41" s="56"/>
    </row>
    <row r="42" spans="1:8" x14ac:dyDescent="0.25">
      <c r="A42" s="69">
        <v>60664</v>
      </c>
      <c r="B42" s="69" t="s">
        <v>224</v>
      </c>
      <c r="C42" s="69" t="s">
        <v>176</v>
      </c>
      <c r="D42" s="69" t="s">
        <v>177</v>
      </c>
      <c r="E42" s="69" t="s">
        <v>151</v>
      </c>
      <c r="F42" s="70">
        <v>1085218.8894</v>
      </c>
      <c r="G42" s="69" t="s">
        <v>152</v>
      </c>
      <c r="H42" s="56"/>
    </row>
    <row r="43" spans="1:8" x14ac:dyDescent="0.25">
      <c r="A43" s="69">
        <v>60602</v>
      </c>
      <c r="B43" s="69" t="s">
        <v>225</v>
      </c>
      <c r="C43" s="69" t="s">
        <v>183</v>
      </c>
      <c r="D43" s="69" t="s">
        <v>226</v>
      </c>
      <c r="E43" s="69" t="s">
        <v>151</v>
      </c>
      <c r="F43" s="70">
        <v>1053269.2062000001</v>
      </c>
      <c r="G43" s="69" t="s">
        <v>152</v>
      </c>
      <c r="H43" s="56"/>
    </row>
    <row r="44" spans="1:8" x14ac:dyDescent="0.25">
      <c r="A44" s="69">
        <v>1338</v>
      </c>
      <c r="B44" s="69" t="s">
        <v>227</v>
      </c>
      <c r="C44" s="69" t="s">
        <v>183</v>
      </c>
      <c r="D44" s="69" t="s">
        <v>226</v>
      </c>
      <c r="E44" s="69" t="s">
        <v>151</v>
      </c>
      <c r="F44" s="70">
        <v>809268.3</v>
      </c>
      <c r="G44" s="69" t="s">
        <v>152</v>
      </c>
      <c r="H44" s="56"/>
    </row>
    <row r="45" spans="1:8" x14ac:dyDescent="0.25">
      <c r="A45" s="69">
        <v>87175</v>
      </c>
      <c r="B45" s="69" t="s">
        <v>228</v>
      </c>
      <c r="C45" s="69" t="s">
        <v>229</v>
      </c>
      <c r="D45" s="69" t="s">
        <v>230</v>
      </c>
      <c r="E45" s="69" t="s">
        <v>188</v>
      </c>
      <c r="F45" s="70">
        <v>788786.98560000001</v>
      </c>
      <c r="G45" s="69" t="s">
        <v>152</v>
      </c>
      <c r="H45" s="56"/>
    </row>
    <row r="46" spans="1:8" x14ac:dyDescent="0.25">
      <c r="A46" s="69">
        <v>85951</v>
      </c>
      <c r="B46" s="69" t="s">
        <v>231</v>
      </c>
      <c r="C46" s="69" t="s">
        <v>201</v>
      </c>
      <c r="D46" s="69" t="s">
        <v>204</v>
      </c>
      <c r="E46" s="69" t="s">
        <v>151</v>
      </c>
      <c r="F46" s="70">
        <v>746673.76800000004</v>
      </c>
      <c r="G46" s="69" t="s">
        <v>152</v>
      </c>
      <c r="H46" s="56"/>
    </row>
    <row r="47" spans="1:8" x14ac:dyDescent="0.25">
      <c r="A47" s="69">
        <v>1723</v>
      </c>
      <c r="B47" s="69" t="s">
        <v>232</v>
      </c>
      <c r="C47" s="69" t="s">
        <v>201</v>
      </c>
      <c r="D47" s="69" t="s">
        <v>204</v>
      </c>
      <c r="E47" s="69" t="s">
        <v>151</v>
      </c>
      <c r="F47" s="70">
        <v>438882.9264</v>
      </c>
      <c r="G47" s="69" t="s">
        <v>152</v>
      </c>
      <c r="H47" s="56"/>
    </row>
    <row r="48" spans="1:8" x14ac:dyDescent="0.25">
      <c r="A48" s="69">
        <v>60071</v>
      </c>
      <c r="B48" s="69" t="s">
        <v>233</v>
      </c>
      <c r="C48" s="69" t="s">
        <v>183</v>
      </c>
      <c r="D48" s="69" t="s">
        <v>184</v>
      </c>
      <c r="E48" s="69" t="s">
        <v>151</v>
      </c>
      <c r="F48" s="70">
        <v>408514.26059999998</v>
      </c>
      <c r="G48" s="69" t="s">
        <v>173</v>
      </c>
      <c r="H48" s="56"/>
    </row>
    <row r="49" spans="1:8" x14ac:dyDescent="0.25">
      <c r="A49" s="69">
        <v>80603</v>
      </c>
      <c r="B49" s="69" t="s">
        <v>234</v>
      </c>
      <c r="C49" s="69" t="s">
        <v>235</v>
      </c>
      <c r="D49" s="69" t="s">
        <v>236</v>
      </c>
      <c r="E49" s="69" t="s">
        <v>188</v>
      </c>
      <c r="F49" s="70">
        <v>351614.30940000003</v>
      </c>
      <c r="G49" s="69" t="s">
        <v>152</v>
      </c>
      <c r="H49" s="56"/>
    </row>
    <row r="50" spans="1:8" x14ac:dyDescent="0.25">
      <c r="A50" s="69">
        <v>57685</v>
      </c>
      <c r="B50" s="69" t="s">
        <v>237</v>
      </c>
      <c r="C50" s="69" t="s">
        <v>221</v>
      </c>
      <c r="D50" s="69" t="s">
        <v>238</v>
      </c>
      <c r="E50" s="69" t="s">
        <v>151</v>
      </c>
      <c r="F50" s="70">
        <v>270400.87440000003</v>
      </c>
      <c r="G50" s="69" t="s">
        <v>152</v>
      </c>
      <c r="H50" s="56"/>
    </row>
    <row r="51" spans="1:8" x14ac:dyDescent="0.25">
      <c r="A51" s="69">
        <v>59430</v>
      </c>
      <c r="B51" s="69" t="s">
        <v>239</v>
      </c>
      <c r="C51" s="69" t="s">
        <v>201</v>
      </c>
      <c r="D51" s="69" t="s">
        <v>240</v>
      </c>
      <c r="E51" s="69" t="s">
        <v>151</v>
      </c>
      <c r="F51" s="70">
        <v>82756.933199999999</v>
      </c>
      <c r="G51" s="69" t="s">
        <v>152</v>
      </c>
      <c r="H51" s="56"/>
    </row>
    <row r="55" spans="1:8" x14ac:dyDescent="0.25">
      <c r="B55" s="28" t="s">
        <v>241</v>
      </c>
    </row>
    <row r="56" spans="1:8" x14ac:dyDescent="0.25">
      <c r="B56" t="s">
        <v>242</v>
      </c>
    </row>
    <row r="57" spans="1:8" x14ac:dyDescent="0.25">
      <c r="B57" t="s">
        <v>243</v>
      </c>
    </row>
    <row r="58" spans="1:8" x14ac:dyDescent="0.25">
      <c r="B58" t="s">
        <v>559</v>
      </c>
    </row>
    <row r="60" spans="1:8" x14ac:dyDescent="0.25">
      <c r="B60" s="5" t="s">
        <v>244</v>
      </c>
      <c r="C60" s="22">
        <f>SUM(F5:F8)*0.3+SUM(F10:F51)</f>
        <v>388445139.63503993</v>
      </c>
    </row>
    <row r="63" spans="1:8" x14ac:dyDescent="0.25">
      <c r="B63" s="28" t="s">
        <v>245</v>
      </c>
    </row>
    <row r="64" spans="1:8" x14ac:dyDescent="0.25">
      <c r="B64" t="s">
        <v>246</v>
      </c>
    </row>
    <row r="65" spans="2:2" x14ac:dyDescent="0.25">
      <c r="B65" t="s">
        <v>247</v>
      </c>
    </row>
    <row r="66" spans="2:2" x14ac:dyDescent="0.25">
      <c r="B66" t="s">
        <v>248</v>
      </c>
    </row>
    <row r="69" spans="2:2" x14ac:dyDescent="0.25">
      <c r="B69" s="171" t="s">
        <v>562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2277E-714C-48A1-ACBD-97E76F97BA12}">
  <dimension ref="A1:H93"/>
  <sheetViews>
    <sheetView zoomScaleNormal="100" workbookViewId="0">
      <selection activeCell="B93" sqref="B93"/>
    </sheetView>
  </sheetViews>
  <sheetFormatPr baseColWidth="10" defaultColWidth="11.42578125" defaultRowHeight="15" x14ac:dyDescent="0.25"/>
  <cols>
    <col min="1" max="1" width="10.5703125" bestFit="1" customWidth="1"/>
    <col min="2" max="2" width="49.7109375" customWidth="1"/>
    <col min="3" max="3" width="40.7109375" customWidth="1"/>
    <col min="4" max="4" width="43.5703125" customWidth="1"/>
    <col min="5" max="5" width="13.85546875" customWidth="1"/>
    <col min="6" max="6" width="14.140625" customWidth="1"/>
    <col min="7" max="7" width="14.5703125" customWidth="1"/>
    <col min="8" max="8" width="13.28515625" customWidth="1"/>
  </cols>
  <sheetData>
    <row r="1" spans="1:8" ht="15.75" x14ac:dyDescent="0.25">
      <c r="A1" s="67" t="s">
        <v>547</v>
      </c>
    </row>
    <row r="3" spans="1:8" ht="40.5" x14ac:dyDescent="0.25">
      <c r="A3" s="68" t="s">
        <v>249</v>
      </c>
      <c r="B3" s="68" t="s">
        <v>250</v>
      </c>
      <c r="C3" s="68" t="s">
        <v>142</v>
      </c>
      <c r="D3" s="68" t="s">
        <v>143</v>
      </c>
      <c r="E3" s="68" t="s">
        <v>144</v>
      </c>
      <c r="F3" s="68" t="s">
        <v>145</v>
      </c>
      <c r="G3" s="68" t="s">
        <v>251</v>
      </c>
      <c r="H3" s="68" t="s">
        <v>252</v>
      </c>
    </row>
    <row r="4" spans="1:8" x14ac:dyDescent="0.25">
      <c r="A4" s="69">
        <v>272</v>
      </c>
      <c r="B4" s="69" t="s">
        <v>253</v>
      </c>
      <c r="C4" s="69" t="s">
        <v>149</v>
      </c>
      <c r="D4" s="69" t="s">
        <v>254</v>
      </c>
      <c r="E4" s="69" t="s">
        <v>151</v>
      </c>
      <c r="F4" s="70">
        <v>776058.59700000007</v>
      </c>
      <c r="G4" s="71">
        <v>6.8402640219704949E-2</v>
      </c>
      <c r="H4" s="72">
        <v>4.0859239713037024E-2</v>
      </c>
    </row>
    <row r="5" spans="1:8" x14ac:dyDescent="0.25">
      <c r="A5" s="69">
        <v>473</v>
      </c>
      <c r="B5" s="69" t="s">
        <v>255</v>
      </c>
      <c r="C5" s="69" t="s">
        <v>149</v>
      </c>
      <c r="D5" s="69" t="s">
        <v>150</v>
      </c>
      <c r="E5" s="69" t="s">
        <v>151</v>
      </c>
      <c r="F5" s="70">
        <v>797675.9094</v>
      </c>
      <c r="G5" s="71">
        <v>3.5937845009714163E-2</v>
      </c>
      <c r="H5" s="72">
        <v>1.1980868405089412E-3</v>
      </c>
    </row>
    <row r="6" spans="1:8" x14ac:dyDescent="0.25">
      <c r="A6" s="69">
        <v>513</v>
      </c>
      <c r="B6" s="69" t="s">
        <v>256</v>
      </c>
      <c r="C6" s="69" t="s">
        <v>149</v>
      </c>
      <c r="D6" s="69" t="s">
        <v>150</v>
      </c>
      <c r="E6" s="69" t="s">
        <v>151</v>
      </c>
      <c r="F6" s="70">
        <v>4725.3347999999996</v>
      </c>
      <c r="G6" s="71">
        <v>3.5950595500661674E-2</v>
      </c>
      <c r="H6" s="72">
        <v>4.5870390662827146E-4</v>
      </c>
    </row>
    <row r="7" spans="1:8" x14ac:dyDescent="0.25">
      <c r="A7" s="69">
        <v>1653</v>
      </c>
      <c r="B7" s="69" t="s">
        <v>257</v>
      </c>
      <c r="C7" s="69" t="s">
        <v>221</v>
      </c>
      <c r="D7" s="69" t="s">
        <v>222</v>
      </c>
      <c r="E7" s="69" t="s">
        <v>151</v>
      </c>
      <c r="F7" s="70">
        <v>603691.22340000002</v>
      </c>
      <c r="G7" s="71">
        <v>9.39685488228683E-2</v>
      </c>
      <c r="H7" s="72">
        <v>2.8332260141661302E-2</v>
      </c>
    </row>
    <row r="8" spans="1:8" x14ac:dyDescent="0.25">
      <c r="A8" s="69">
        <v>1759</v>
      </c>
      <c r="B8" s="69" t="s">
        <v>258</v>
      </c>
      <c r="C8" s="69" t="s">
        <v>201</v>
      </c>
      <c r="D8" s="69" t="s">
        <v>204</v>
      </c>
      <c r="E8" s="69" t="s">
        <v>151</v>
      </c>
      <c r="F8" s="70">
        <v>775479.13380000007</v>
      </c>
      <c r="G8" s="71">
        <v>9.239341521531988E-2</v>
      </c>
      <c r="H8" s="72">
        <v>9.8802478980428363E-3</v>
      </c>
    </row>
    <row r="9" spans="1:8" x14ac:dyDescent="0.25">
      <c r="A9" s="69">
        <v>1771</v>
      </c>
      <c r="B9" s="69" t="s">
        <v>259</v>
      </c>
      <c r="C9" s="69" t="s">
        <v>201</v>
      </c>
      <c r="D9" s="69" t="s">
        <v>204</v>
      </c>
      <c r="E9" s="69" t="s">
        <v>151</v>
      </c>
      <c r="F9" s="70">
        <v>192029.51879999999</v>
      </c>
      <c r="G9" s="71">
        <v>9.4478274555776273E-2</v>
      </c>
      <c r="H9" s="72">
        <v>1.6639495056761244E-4</v>
      </c>
    </row>
    <row r="10" spans="1:8" x14ac:dyDescent="0.25">
      <c r="A10" s="69">
        <v>3222</v>
      </c>
      <c r="B10" s="69" t="s">
        <v>260</v>
      </c>
      <c r="C10" s="69" t="s">
        <v>201</v>
      </c>
      <c r="D10" s="69" t="s">
        <v>202</v>
      </c>
      <c r="E10" s="69" t="s">
        <v>151</v>
      </c>
      <c r="F10" s="70">
        <v>155283.6312</v>
      </c>
      <c r="G10" s="71">
        <v>0.24132191468227338</v>
      </c>
      <c r="H10" s="72">
        <v>4.7257349438435394E-3</v>
      </c>
    </row>
    <row r="11" spans="1:8" x14ac:dyDescent="0.25">
      <c r="A11" s="69">
        <v>5114</v>
      </c>
      <c r="B11" s="69" t="s">
        <v>261</v>
      </c>
      <c r="C11" s="69" t="s">
        <v>221</v>
      </c>
      <c r="D11" s="69" t="s">
        <v>238</v>
      </c>
      <c r="E11" s="69" t="s">
        <v>151</v>
      </c>
      <c r="F11" s="70">
        <v>713630.81700000004</v>
      </c>
      <c r="G11" s="71">
        <v>0.51643482515133587</v>
      </c>
      <c r="H11" s="72">
        <v>0.16639999999999999</v>
      </c>
    </row>
    <row r="12" spans="1:8" x14ac:dyDescent="0.25">
      <c r="A12" s="69">
        <v>5129</v>
      </c>
      <c r="B12" s="69" t="s">
        <v>262</v>
      </c>
      <c r="C12" s="69" t="s">
        <v>201</v>
      </c>
      <c r="D12" s="69" t="s">
        <v>263</v>
      </c>
      <c r="E12" s="69" t="s">
        <v>151</v>
      </c>
      <c r="F12" s="70">
        <v>258829.3278</v>
      </c>
      <c r="G12" s="71">
        <v>0.19150067042750324</v>
      </c>
      <c r="H12" s="72">
        <v>2.6148367131718616E-3</v>
      </c>
    </row>
    <row r="13" spans="1:8" x14ac:dyDescent="0.25">
      <c r="A13" s="69">
        <v>56206</v>
      </c>
      <c r="B13" s="69" t="s">
        <v>264</v>
      </c>
      <c r="C13" s="69" t="s">
        <v>201</v>
      </c>
      <c r="D13" s="69" t="s">
        <v>263</v>
      </c>
      <c r="E13" s="69" t="s">
        <v>151</v>
      </c>
      <c r="F13" s="70">
        <v>910686.86640000006</v>
      </c>
      <c r="G13" s="71">
        <v>0.19834586844767524</v>
      </c>
      <c r="H13" s="72">
        <v>5.5619271550471057E-3</v>
      </c>
    </row>
    <row r="14" spans="1:8" x14ac:dyDescent="0.25">
      <c r="A14" s="69">
        <v>56207</v>
      </c>
      <c r="B14" s="69" t="s">
        <v>265</v>
      </c>
      <c r="C14" s="69" t="s">
        <v>201</v>
      </c>
      <c r="D14" s="69" t="s">
        <v>263</v>
      </c>
      <c r="E14" s="69" t="s">
        <v>151</v>
      </c>
      <c r="F14" s="70">
        <v>699384.9852</v>
      </c>
      <c r="G14" s="71">
        <v>0.1562499068646005</v>
      </c>
      <c r="H14" s="72">
        <v>3.597144159197934E-2</v>
      </c>
    </row>
    <row r="15" spans="1:8" x14ac:dyDescent="0.25">
      <c r="A15" s="69">
        <v>58237</v>
      </c>
      <c r="B15" s="69" t="s">
        <v>266</v>
      </c>
      <c r="C15" s="69" t="s">
        <v>201</v>
      </c>
      <c r="D15" s="69" t="s">
        <v>267</v>
      </c>
      <c r="E15" s="69" t="s">
        <v>151</v>
      </c>
      <c r="F15" s="70">
        <v>195912.75599999999</v>
      </c>
      <c r="G15" s="71">
        <v>0.23882859878710502</v>
      </c>
      <c r="H15" s="72">
        <v>2.3826097424633013E-3</v>
      </c>
    </row>
    <row r="16" spans="1:8" x14ac:dyDescent="0.25">
      <c r="A16" s="69">
        <v>59213</v>
      </c>
      <c r="B16" s="69" t="s">
        <v>268</v>
      </c>
      <c r="C16" s="69" t="s">
        <v>201</v>
      </c>
      <c r="D16" s="69" t="s">
        <v>202</v>
      </c>
      <c r="E16" s="69" t="s">
        <v>151</v>
      </c>
      <c r="F16" s="70">
        <v>763447.97699999996</v>
      </c>
      <c r="G16" s="71">
        <v>0.11620332134300751</v>
      </c>
      <c r="H16" s="72">
        <v>2.7220755100264081E-2</v>
      </c>
    </row>
    <row r="17" spans="1:8" x14ac:dyDescent="0.25">
      <c r="A17" s="69">
        <v>59396</v>
      </c>
      <c r="B17" s="69" t="s">
        <v>269</v>
      </c>
      <c r="C17" s="69" t="s">
        <v>196</v>
      </c>
      <c r="D17" s="69" t="s">
        <v>270</v>
      </c>
      <c r="E17" s="69" t="s">
        <v>151</v>
      </c>
      <c r="F17" s="70">
        <v>414464.18040000001</v>
      </c>
      <c r="G17" s="71">
        <v>3.8648970785703147E-3</v>
      </c>
      <c r="H17" s="72">
        <v>3.7609615062961458E-3</v>
      </c>
    </row>
    <row r="18" spans="1:8" x14ac:dyDescent="0.25">
      <c r="A18" s="69">
        <v>59461</v>
      </c>
      <c r="B18" s="69" t="s">
        <v>271</v>
      </c>
      <c r="C18" s="69" t="s">
        <v>162</v>
      </c>
      <c r="D18" s="69" t="s">
        <v>206</v>
      </c>
      <c r="E18" s="69" t="s">
        <v>151</v>
      </c>
      <c r="F18" s="70">
        <v>195746.00400000002</v>
      </c>
      <c r="G18" s="71">
        <v>0.20729954211479074</v>
      </c>
      <c r="H18" s="72">
        <v>5.2834682385511783E-3</v>
      </c>
    </row>
    <row r="19" spans="1:8" x14ac:dyDescent="0.25">
      <c r="A19" s="69">
        <v>59915</v>
      </c>
      <c r="B19" s="69" t="s">
        <v>272</v>
      </c>
      <c r="C19" s="69" t="s">
        <v>149</v>
      </c>
      <c r="D19" s="69" t="s">
        <v>168</v>
      </c>
      <c r="E19" s="69" t="s">
        <v>151</v>
      </c>
      <c r="F19" s="70">
        <v>122417.8542</v>
      </c>
      <c r="G19" s="71">
        <v>0.47037740186104321</v>
      </c>
      <c r="H19" s="72">
        <v>3.2967032967032968E-2</v>
      </c>
    </row>
    <row r="20" spans="1:8" x14ac:dyDescent="0.25">
      <c r="A20" s="69">
        <v>59923</v>
      </c>
      <c r="B20" s="69" t="s">
        <v>273</v>
      </c>
      <c r="C20" s="69" t="s">
        <v>149</v>
      </c>
      <c r="D20" s="69" t="s">
        <v>168</v>
      </c>
      <c r="E20" s="69" t="s">
        <v>151</v>
      </c>
      <c r="F20" s="70">
        <v>14365.684800000001</v>
      </c>
      <c r="G20" s="71">
        <v>0.41598955310504931</v>
      </c>
      <c r="H20" s="72">
        <v>0.46666666666666667</v>
      </c>
    </row>
    <row r="21" spans="1:8" x14ac:dyDescent="0.25">
      <c r="A21" s="69">
        <v>59927</v>
      </c>
      <c r="B21" s="69" t="s">
        <v>274</v>
      </c>
      <c r="C21" s="69" t="s">
        <v>149</v>
      </c>
      <c r="D21" s="69" t="s">
        <v>168</v>
      </c>
      <c r="E21" s="69" t="s">
        <v>151</v>
      </c>
      <c r="F21" s="70">
        <v>71414.670599999998</v>
      </c>
      <c r="G21" s="71">
        <v>1</v>
      </c>
      <c r="H21" s="72">
        <v>0.39217725395037123</v>
      </c>
    </row>
    <row r="22" spans="1:8" x14ac:dyDescent="0.25">
      <c r="A22" s="69">
        <v>59997</v>
      </c>
      <c r="B22" s="69" t="s">
        <v>275</v>
      </c>
      <c r="C22" s="69" t="s">
        <v>183</v>
      </c>
      <c r="D22" s="69" t="s">
        <v>226</v>
      </c>
      <c r="E22" s="69" t="s">
        <v>151</v>
      </c>
      <c r="F22" s="70">
        <v>174410.08559999999</v>
      </c>
      <c r="G22" s="71">
        <v>0.16511102612520021</v>
      </c>
      <c r="H22" s="72">
        <v>1.2634353965160626E-3</v>
      </c>
    </row>
    <row r="23" spans="1:8" x14ac:dyDescent="0.25">
      <c r="A23" s="69">
        <v>60004</v>
      </c>
      <c r="B23" s="69" t="s">
        <v>276</v>
      </c>
      <c r="C23" s="69" t="s">
        <v>201</v>
      </c>
      <c r="D23" s="69" t="s">
        <v>267</v>
      </c>
      <c r="E23" s="69" t="s">
        <v>151</v>
      </c>
      <c r="F23" s="70">
        <v>638182.83239999996</v>
      </c>
      <c r="G23" s="71">
        <v>2.6426408771568835E-2</v>
      </c>
      <c r="H23" s="72">
        <v>7.5130077696633144E-3</v>
      </c>
    </row>
    <row r="24" spans="1:8" x14ac:dyDescent="0.25">
      <c r="A24" s="69">
        <v>60008</v>
      </c>
      <c r="B24" s="69" t="s">
        <v>277</v>
      </c>
      <c r="C24" s="69" t="s">
        <v>149</v>
      </c>
      <c r="D24" s="69" t="s">
        <v>150</v>
      </c>
      <c r="E24" s="69" t="s">
        <v>151</v>
      </c>
      <c r="F24" s="70">
        <v>632422.59299999999</v>
      </c>
      <c r="G24" s="71">
        <v>3.5938465594950689E-2</v>
      </c>
      <c r="H24" s="72">
        <v>1.3010416254109074E-2</v>
      </c>
    </row>
    <row r="25" spans="1:8" x14ac:dyDescent="0.25">
      <c r="A25" s="69">
        <v>60231</v>
      </c>
      <c r="B25" s="69" t="s">
        <v>278</v>
      </c>
      <c r="C25" s="69" t="s">
        <v>201</v>
      </c>
      <c r="D25" s="69" t="s">
        <v>204</v>
      </c>
      <c r="E25" s="69" t="s">
        <v>151</v>
      </c>
      <c r="F25" s="70">
        <v>248112.38519999999</v>
      </c>
      <c r="G25" s="71">
        <v>0.16051851167323347</v>
      </c>
      <c r="H25" s="72">
        <v>4.6002007360321177E-3</v>
      </c>
    </row>
    <row r="26" spans="1:8" x14ac:dyDescent="0.25">
      <c r="A26" s="69">
        <v>60311</v>
      </c>
      <c r="B26" s="69" t="s">
        <v>279</v>
      </c>
      <c r="C26" s="69" t="s">
        <v>193</v>
      </c>
      <c r="D26" s="69" t="s">
        <v>280</v>
      </c>
      <c r="E26" s="69" t="s">
        <v>188</v>
      </c>
      <c r="F26" s="70">
        <v>152890.74</v>
      </c>
      <c r="G26" s="71">
        <v>6.1349693251533742E-2</v>
      </c>
      <c r="H26" s="72">
        <v>4.0074109654841143E-2</v>
      </c>
    </row>
    <row r="27" spans="1:8" x14ac:dyDescent="0.25">
      <c r="A27" s="69">
        <v>63354</v>
      </c>
      <c r="B27" s="69" t="s">
        <v>281</v>
      </c>
      <c r="C27" s="69" t="s">
        <v>149</v>
      </c>
      <c r="D27" s="69" t="s">
        <v>168</v>
      </c>
      <c r="E27" s="69" t="s">
        <v>151</v>
      </c>
      <c r="F27" s="70">
        <v>3895.7436000000002</v>
      </c>
      <c r="G27" s="71">
        <v>1</v>
      </c>
      <c r="H27" s="72">
        <v>3.5000000000000003E-2</v>
      </c>
    </row>
    <row r="28" spans="1:8" x14ac:dyDescent="0.25">
      <c r="A28" s="69">
        <v>63380</v>
      </c>
      <c r="B28" s="69" t="s">
        <v>282</v>
      </c>
      <c r="C28" s="69" t="s">
        <v>196</v>
      </c>
      <c r="D28" s="69" t="s">
        <v>283</v>
      </c>
      <c r="E28" s="69" t="s">
        <v>151</v>
      </c>
      <c r="F28" s="70">
        <v>33503.6034</v>
      </c>
      <c r="G28" s="71">
        <v>0.17000031107101754</v>
      </c>
      <c r="H28" s="72">
        <v>2.6513946335772618E-2</v>
      </c>
    </row>
    <row r="29" spans="1:8" x14ac:dyDescent="0.25">
      <c r="A29" s="69">
        <v>63465</v>
      </c>
      <c r="B29" s="69" t="s">
        <v>284</v>
      </c>
      <c r="C29" s="69" t="s">
        <v>201</v>
      </c>
      <c r="D29" s="69" t="s">
        <v>263</v>
      </c>
      <c r="E29" s="69" t="s">
        <v>151</v>
      </c>
      <c r="F29" s="70">
        <v>701181.73800000001</v>
      </c>
      <c r="G29" s="71">
        <v>1.8592725813403887E-2</v>
      </c>
      <c r="H29" s="72">
        <v>1.3152486642005754E-2</v>
      </c>
    </row>
    <row r="30" spans="1:8" x14ac:dyDescent="0.25">
      <c r="A30" s="69">
        <v>66524</v>
      </c>
      <c r="B30" s="69" t="s">
        <v>285</v>
      </c>
      <c r="C30" s="69" t="s">
        <v>235</v>
      </c>
      <c r="D30" s="69" t="s">
        <v>236</v>
      </c>
      <c r="E30" s="69" t="s">
        <v>188</v>
      </c>
      <c r="F30" s="70">
        <v>470616.87420000002</v>
      </c>
      <c r="G30" s="71">
        <v>0.49881411370778256</v>
      </c>
      <c r="H30" s="72">
        <v>0.22028985507246376</v>
      </c>
    </row>
    <row r="31" spans="1:8" x14ac:dyDescent="0.25">
      <c r="A31" s="69">
        <v>73069</v>
      </c>
      <c r="B31" s="69" t="s">
        <v>286</v>
      </c>
      <c r="C31" s="69" t="s">
        <v>149</v>
      </c>
      <c r="D31" s="69" t="s">
        <v>166</v>
      </c>
      <c r="E31" s="69" t="s">
        <v>151</v>
      </c>
      <c r="F31" s="70">
        <v>350260.49160000001</v>
      </c>
      <c r="G31" s="71">
        <v>3.296258606632984E-2</v>
      </c>
      <c r="H31" s="72">
        <v>8.950702285871661E-3</v>
      </c>
    </row>
    <row r="32" spans="1:8" x14ac:dyDescent="0.25">
      <c r="A32" s="69">
        <v>74946</v>
      </c>
      <c r="B32" s="69" t="s">
        <v>287</v>
      </c>
      <c r="C32" s="69" t="s">
        <v>201</v>
      </c>
      <c r="D32" s="69" t="s">
        <v>288</v>
      </c>
      <c r="E32" s="69" t="s">
        <v>151</v>
      </c>
      <c r="F32" s="70">
        <v>580176.06480000005</v>
      </c>
      <c r="G32" s="71">
        <v>0.78969756630332466</v>
      </c>
      <c r="H32" s="72">
        <v>0.14084507042253522</v>
      </c>
    </row>
    <row r="33" spans="1:8" x14ac:dyDescent="0.25">
      <c r="A33" s="69">
        <v>75034</v>
      </c>
      <c r="B33" s="69" t="s">
        <v>289</v>
      </c>
      <c r="C33" s="69" t="s">
        <v>149</v>
      </c>
      <c r="D33" s="69" t="s">
        <v>150</v>
      </c>
      <c r="E33" s="69" t="s">
        <v>151</v>
      </c>
      <c r="F33" s="70">
        <v>38381.099399999999</v>
      </c>
      <c r="G33" s="71">
        <v>3.5924729138946968E-2</v>
      </c>
      <c r="H33" s="72">
        <v>1.3985610680969478E-3</v>
      </c>
    </row>
    <row r="34" spans="1:8" x14ac:dyDescent="0.25">
      <c r="A34" s="69">
        <v>80846</v>
      </c>
      <c r="B34" s="69" t="s">
        <v>290</v>
      </c>
      <c r="C34" s="69" t="s">
        <v>149</v>
      </c>
      <c r="D34" s="69" t="s">
        <v>254</v>
      </c>
      <c r="E34" s="69" t="s">
        <v>151</v>
      </c>
      <c r="F34" s="70">
        <v>23786.1306</v>
      </c>
      <c r="G34" s="71">
        <v>0.57201069096963586</v>
      </c>
      <c r="H34" s="72">
        <v>2.2059944885603937E-3</v>
      </c>
    </row>
    <row r="35" spans="1:8" x14ac:dyDescent="0.25">
      <c r="A35" s="69">
        <v>81283</v>
      </c>
      <c r="B35" s="69" t="s">
        <v>291</v>
      </c>
      <c r="C35" s="69" t="s">
        <v>235</v>
      </c>
      <c r="D35" s="69" t="s">
        <v>236</v>
      </c>
      <c r="E35" s="69" t="s">
        <v>188</v>
      </c>
      <c r="F35" s="70">
        <v>463646.64059999998</v>
      </c>
      <c r="G35" s="71">
        <v>0.92981367716179675</v>
      </c>
      <c r="H35" s="72">
        <v>0.68316326530612248</v>
      </c>
    </row>
    <row r="36" spans="1:8" x14ac:dyDescent="0.25">
      <c r="A36" s="69">
        <v>85124</v>
      </c>
      <c r="B36" s="69" t="s">
        <v>292</v>
      </c>
      <c r="C36" s="69" t="s">
        <v>183</v>
      </c>
      <c r="D36" s="69" t="s">
        <v>226</v>
      </c>
      <c r="E36" s="69" t="s">
        <v>151</v>
      </c>
      <c r="F36" s="70">
        <v>779454.08460000006</v>
      </c>
      <c r="G36" s="71">
        <v>0.1010839785905203</v>
      </c>
      <c r="H36" s="72">
        <v>3.4664754200735086E-3</v>
      </c>
    </row>
    <row r="37" spans="1:8" x14ac:dyDescent="0.25">
      <c r="A37" s="69">
        <v>85144</v>
      </c>
      <c r="B37" s="69" t="s">
        <v>293</v>
      </c>
      <c r="C37" s="69" t="s">
        <v>183</v>
      </c>
      <c r="D37" s="69" t="s">
        <v>226</v>
      </c>
      <c r="E37" s="69" t="s">
        <v>151</v>
      </c>
      <c r="F37" s="70">
        <v>1881.171</v>
      </c>
      <c r="G37" s="71"/>
      <c r="H37" s="72">
        <v>2.1321961620469082E-4</v>
      </c>
    </row>
    <row r="38" spans="1:8" x14ac:dyDescent="0.25">
      <c r="A38" s="69">
        <v>85903</v>
      </c>
      <c r="B38" s="69" t="s">
        <v>294</v>
      </c>
      <c r="C38" s="69" t="s">
        <v>183</v>
      </c>
      <c r="D38" s="69" t="s">
        <v>184</v>
      </c>
      <c r="E38" s="69" t="s">
        <v>151</v>
      </c>
      <c r="F38" s="70">
        <v>155109.58379999999</v>
      </c>
      <c r="G38" s="71">
        <v>3.8836517076645011E-2</v>
      </c>
      <c r="H38" s="72">
        <v>2.1839999999999998E-2</v>
      </c>
    </row>
    <row r="39" spans="1:8" x14ac:dyDescent="0.25">
      <c r="A39" s="69">
        <v>85950</v>
      </c>
      <c r="B39" s="69" t="s">
        <v>295</v>
      </c>
      <c r="C39" s="69" t="s">
        <v>201</v>
      </c>
      <c r="D39" s="69" t="s">
        <v>204</v>
      </c>
      <c r="E39" s="69" t="s">
        <v>151</v>
      </c>
      <c r="F39" s="70">
        <v>46390.4064</v>
      </c>
      <c r="G39" s="71">
        <v>0.16215851905104242</v>
      </c>
      <c r="H39" s="72">
        <v>3.8883234414943446E-4</v>
      </c>
    </row>
    <row r="40" spans="1:8" x14ac:dyDescent="0.25">
      <c r="A40" s="69">
        <v>87113</v>
      </c>
      <c r="B40" s="69" t="s">
        <v>296</v>
      </c>
      <c r="C40" s="69" t="s">
        <v>297</v>
      </c>
      <c r="D40" s="69" t="s">
        <v>298</v>
      </c>
      <c r="E40" s="69" t="s">
        <v>188</v>
      </c>
      <c r="F40" s="70">
        <v>99768.763800000001</v>
      </c>
      <c r="G40" s="71">
        <v>6.4306531980904427E-2</v>
      </c>
      <c r="H40" s="72">
        <v>1.3565952613812033E-3</v>
      </c>
    </row>
    <row r="41" spans="1:8" x14ac:dyDescent="0.25">
      <c r="A41" s="69">
        <v>87114</v>
      </c>
      <c r="B41" s="69" t="s">
        <v>299</v>
      </c>
      <c r="C41" s="69" t="s">
        <v>297</v>
      </c>
      <c r="D41" s="69" t="s">
        <v>298</v>
      </c>
      <c r="E41" s="69" t="s">
        <v>188</v>
      </c>
      <c r="F41" s="70">
        <v>146300.9094</v>
      </c>
      <c r="G41" s="71">
        <v>0.41446248317031992</v>
      </c>
      <c r="H41" s="72">
        <v>1.1232</v>
      </c>
    </row>
    <row r="42" spans="1:8" x14ac:dyDescent="0.25">
      <c r="A42" s="69">
        <v>87122</v>
      </c>
      <c r="B42" s="69" t="s">
        <v>300</v>
      </c>
      <c r="C42" s="69" t="s">
        <v>297</v>
      </c>
      <c r="D42" s="69" t="s">
        <v>301</v>
      </c>
      <c r="E42" s="69" t="s">
        <v>188</v>
      </c>
      <c r="F42" s="70">
        <v>44408.142</v>
      </c>
      <c r="G42" s="71">
        <v>0.53062661347101614</v>
      </c>
      <c r="H42" s="72">
        <v>0.5</v>
      </c>
    </row>
    <row r="43" spans="1:8" x14ac:dyDescent="0.25">
      <c r="A43" s="69">
        <v>87129</v>
      </c>
      <c r="B43" s="69" t="s">
        <v>302</v>
      </c>
      <c r="C43" s="69" t="s">
        <v>229</v>
      </c>
      <c r="D43" s="69" t="s">
        <v>303</v>
      </c>
      <c r="E43" s="69" t="s">
        <v>188</v>
      </c>
      <c r="F43" s="70">
        <v>61380.368999999999</v>
      </c>
      <c r="G43" s="71">
        <v>0.59266491213175998</v>
      </c>
      <c r="H43" s="72">
        <v>1.7963598783779167E-2</v>
      </c>
    </row>
    <row r="44" spans="1:8" x14ac:dyDescent="0.25">
      <c r="A44" s="69">
        <v>87155</v>
      </c>
      <c r="B44" s="69" t="s">
        <v>304</v>
      </c>
      <c r="C44" s="69" t="s">
        <v>229</v>
      </c>
      <c r="D44" s="69" t="s">
        <v>230</v>
      </c>
      <c r="E44" s="69" t="s">
        <v>188</v>
      </c>
      <c r="F44" s="70">
        <v>91619.801999999996</v>
      </c>
      <c r="G44" s="71">
        <v>0.12393356842225003</v>
      </c>
      <c r="H44" s="72">
        <v>8.8483046648262198E-5</v>
      </c>
    </row>
    <row r="45" spans="1:8" x14ac:dyDescent="0.25">
      <c r="A45" s="69">
        <v>87156</v>
      </c>
      <c r="B45" s="69" t="s">
        <v>305</v>
      </c>
      <c r="C45" s="69" t="s">
        <v>229</v>
      </c>
      <c r="D45" s="69" t="s">
        <v>230</v>
      </c>
      <c r="E45" s="69" t="s">
        <v>188</v>
      </c>
      <c r="F45" s="70">
        <v>914337.69299999997</v>
      </c>
      <c r="G45" s="71">
        <v>0.12140565247374091</v>
      </c>
      <c r="H45" s="72">
        <v>1.4491687509195234E-3</v>
      </c>
    </row>
    <row r="46" spans="1:8" x14ac:dyDescent="0.25">
      <c r="A46" s="69">
        <v>87162</v>
      </c>
      <c r="B46" s="69" t="s">
        <v>306</v>
      </c>
      <c r="C46" s="69" t="s">
        <v>229</v>
      </c>
      <c r="D46" s="69" t="s">
        <v>230</v>
      </c>
      <c r="E46" s="69" t="s">
        <v>188</v>
      </c>
      <c r="F46" s="70">
        <v>659391.60239999997</v>
      </c>
      <c r="G46" s="71">
        <v>0.22283354301935226</v>
      </c>
      <c r="H46" s="72">
        <v>3.1507124222356013E-2</v>
      </c>
    </row>
    <row r="47" spans="1:8" x14ac:dyDescent="0.25">
      <c r="A47" s="69">
        <v>87177</v>
      </c>
      <c r="B47" s="69" t="s">
        <v>307</v>
      </c>
      <c r="C47" s="69" t="s">
        <v>229</v>
      </c>
      <c r="D47" s="69" t="s">
        <v>230</v>
      </c>
      <c r="E47" s="69" t="s">
        <v>188</v>
      </c>
      <c r="F47" s="70">
        <v>66235.978799999997</v>
      </c>
      <c r="G47" s="71">
        <v>9.3101929068193978E-2</v>
      </c>
      <c r="H47" s="72">
        <v>2.2489598560665692E-3</v>
      </c>
    </row>
    <row r="48" spans="1:8" x14ac:dyDescent="0.25">
      <c r="A48" s="69">
        <v>87178</v>
      </c>
      <c r="B48" s="69" t="s">
        <v>308</v>
      </c>
      <c r="C48" s="69" t="s">
        <v>309</v>
      </c>
      <c r="D48" s="69" t="s">
        <v>310</v>
      </c>
      <c r="E48" s="69" t="s">
        <v>188</v>
      </c>
      <c r="F48" s="70">
        <v>333648.86580000003</v>
      </c>
      <c r="G48" s="71">
        <v>0.1507345246908374</v>
      </c>
      <c r="H48" s="72">
        <v>2.5324012067589323E-2</v>
      </c>
    </row>
    <row r="49" spans="1:8" x14ac:dyDescent="0.25">
      <c r="A49" s="69">
        <v>87180</v>
      </c>
      <c r="B49" s="69" t="s">
        <v>311</v>
      </c>
      <c r="C49" s="69" t="s">
        <v>229</v>
      </c>
      <c r="D49" s="69" t="s">
        <v>230</v>
      </c>
      <c r="E49" s="69" t="s">
        <v>188</v>
      </c>
      <c r="F49" s="70">
        <v>580439.74140000006</v>
      </c>
      <c r="G49" s="71">
        <v>5.7259618233301071E-2</v>
      </c>
      <c r="H49" s="72">
        <v>3.0459346597887498E-2</v>
      </c>
    </row>
    <row r="50" spans="1:8" x14ac:dyDescent="0.25">
      <c r="A50" s="69">
        <v>87205</v>
      </c>
      <c r="B50" s="69" t="s">
        <v>312</v>
      </c>
      <c r="C50" s="69" t="s">
        <v>229</v>
      </c>
      <c r="D50" s="69" t="s">
        <v>313</v>
      </c>
      <c r="E50" s="69" t="s">
        <v>188</v>
      </c>
      <c r="F50" s="70">
        <v>305058.19319999998</v>
      </c>
      <c r="G50" s="71">
        <v>0.12252567422601519</v>
      </c>
      <c r="H50" s="72">
        <v>5.6150733524661762E-4</v>
      </c>
    </row>
    <row r="51" spans="1:8" x14ac:dyDescent="0.25">
      <c r="A51" s="69">
        <v>87207</v>
      </c>
      <c r="B51" s="69" t="s">
        <v>314</v>
      </c>
      <c r="C51" s="69" t="s">
        <v>229</v>
      </c>
      <c r="D51" s="69" t="s">
        <v>315</v>
      </c>
      <c r="E51" s="69" t="s">
        <v>188</v>
      </c>
      <c r="F51" s="70">
        <v>709758.00179999997</v>
      </c>
      <c r="G51" s="71">
        <v>0.25025146141297083</v>
      </c>
      <c r="H51" s="72">
        <v>1.7510890919962415E-3</v>
      </c>
    </row>
    <row r="52" spans="1:8" x14ac:dyDescent="0.25">
      <c r="A52" s="69">
        <v>87216</v>
      </c>
      <c r="B52" s="69" t="s">
        <v>316</v>
      </c>
      <c r="C52" s="69" t="s">
        <v>309</v>
      </c>
      <c r="D52" s="69" t="s">
        <v>317</v>
      </c>
      <c r="E52" s="69" t="s">
        <v>188</v>
      </c>
      <c r="F52" s="70">
        <v>100676.52</v>
      </c>
      <c r="G52" s="71">
        <v>0.65048654244306414</v>
      </c>
      <c r="H52" s="72">
        <v>8.9007565643079659E-3</v>
      </c>
    </row>
    <row r="53" spans="1:8" x14ac:dyDescent="0.25">
      <c r="A53" s="69">
        <v>87217</v>
      </c>
      <c r="B53" s="69" t="s">
        <v>318</v>
      </c>
      <c r="C53" s="69" t="s">
        <v>309</v>
      </c>
      <c r="D53" s="69" t="s">
        <v>317</v>
      </c>
      <c r="E53" s="69" t="s">
        <v>188</v>
      </c>
      <c r="F53" s="70">
        <v>260568.75959999999</v>
      </c>
      <c r="G53" s="71">
        <v>0.90729067507139483</v>
      </c>
      <c r="H53" s="72">
        <v>0.56187459756713021</v>
      </c>
    </row>
    <row r="54" spans="1:8" x14ac:dyDescent="0.25">
      <c r="A54" s="69">
        <v>87233</v>
      </c>
      <c r="B54" s="69" t="s">
        <v>319</v>
      </c>
      <c r="C54" s="69" t="s">
        <v>190</v>
      </c>
      <c r="D54" s="69" t="s">
        <v>191</v>
      </c>
      <c r="E54" s="69" t="s">
        <v>188</v>
      </c>
      <c r="F54" s="70">
        <v>161504.52300000002</v>
      </c>
      <c r="G54" s="71">
        <v>0.43021972703513695</v>
      </c>
      <c r="H54" s="72">
        <v>3.9301310043668124E-2</v>
      </c>
    </row>
    <row r="55" spans="1:8" x14ac:dyDescent="0.25">
      <c r="A55" s="69">
        <v>87259</v>
      </c>
      <c r="B55" s="69" t="s">
        <v>320</v>
      </c>
      <c r="C55" s="69" t="s">
        <v>193</v>
      </c>
      <c r="D55" s="69" t="s">
        <v>321</v>
      </c>
      <c r="E55" s="69" t="s">
        <v>188</v>
      </c>
      <c r="F55" s="70">
        <v>312204.55859999999</v>
      </c>
      <c r="G55" s="71">
        <v>0.864726284621265</v>
      </c>
      <c r="H55" s="72" t="s">
        <v>322</v>
      </c>
    </row>
    <row r="56" spans="1:8" x14ac:dyDescent="0.25">
      <c r="A56" s="69">
        <v>87260</v>
      </c>
      <c r="B56" s="69" t="s">
        <v>323</v>
      </c>
      <c r="C56" s="69" t="s">
        <v>193</v>
      </c>
      <c r="D56" s="69" t="s">
        <v>321</v>
      </c>
      <c r="E56" s="69" t="s">
        <v>188</v>
      </c>
      <c r="F56" s="70">
        <v>44690.578200000004</v>
      </c>
      <c r="G56" s="71">
        <v>0.68144399617546225</v>
      </c>
      <c r="H56" s="72">
        <v>5.6047197640117993E-3</v>
      </c>
    </row>
    <row r="57" spans="1:8" x14ac:dyDescent="0.25">
      <c r="A57" s="69">
        <v>87311</v>
      </c>
      <c r="B57" s="69" t="s">
        <v>324</v>
      </c>
      <c r="C57" s="69" t="s">
        <v>186</v>
      </c>
      <c r="D57" s="69" t="s">
        <v>325</v>
      </c>
      <c r="E57" s="69" t="s">
        <v>188</v>
      </c>
      <c r="F57" s="70">
        <v>501881.83199999999</v>
      </c>
      <c r="G57" s="71">
        <v>0.20317509759946839</v>
      </c>
      <c r="H57" s="72">
        <v>4.7045324153757888E-2</v>
      </c>
    </row>
    <row r="58" spans="1:8" x14ac:dyDescent="0.25">
      <c r="A58" s="69">
        <v>87322</v>
      </c>
      <c r="B58" s="69" t="s">
        <v>326</v>
      </c>
      <c r="C58" s="69" t="s">
        <v>218</v>
      </c>
      <c r="D58" s="69" t="s">
        <v>219</v>
      </c>
      <c r="E58" s="69" t="s">
        <v>188</v>
      </c>
      <c r="F58" s="70">
        <v>897091.36739999999</v>
      </c>
      <c r="G58" s="71">
        <v>3.4064967639326323E-2</v>
      </c>
      <c r="H58" s="72">
        <v>1.2731270035123646E-3</v>
      </c>
    </row>
    <row r="59" spans="1:8" x14ac:dyDescent="0.25">
      <c r="A59" s="69">
        <v>93400</v>
      </c>
      <c r="B59" s="69" t="s">
        <v>327</v>
      </c>
      <c r="C59" s="69" t="s">
        <v>186</v>
      </c>
      <c r="D59" s="69" t="s">
        <v>325</v>
      </c>
      <c r="E59" s="69" t="s">
        <v>188</v>
      </c>
      <c r="F59" s="70">
        <v>240299.01180000001</v>
      </c>
      <c r="G59" s="71">
        <v>0.43069970377630989</v>
      </c>
      <c r="H59" s="72">
        <v>2.1519626168224299E-2</v>
      </c>
    </row>
    <row r="60" spans="1:8" x14ac:dyDescent="0.25">
      <c r="A60" s="69">
        <v>113581</v>
      </c>
      <c r="B60" s="69" t="s">
        <v>328</v>
      </c>
      <c r="C60" s="69" t="s">
        <v>201</v>
      </c>
      <c r="D60" s="69" t="s">
        <v>263</v>
      </c>
      <c r="E60" s="69" t="s">
        <v>151</v>
      </c>
      <c r="F60" s="70">
        <v>124504.3386</v>
      </c>
      <c r="G60" s="71">
        <v>0.16666248127035149</v>
      </c>
      <c r="H60" s="72">
        <v>1.460262225812465E-3</v>
      </c>
    </row>
    <row r="61" spans="1:8" x14ac:dyDescent="0.25">
      <c r="A61" s="69">
        <v>113621</v>
      </c>
      <c r="B61" s="69" t="s">
        <v>329</v>
      </c>
      <c r="C61" s="69" t="s">
        <v>183</v>
      </c>
      <c r="D61" s="69" t="s">
        <v>184</v>
      </c>
      <c r="E61" s="69" t="s">
        <v>151</v>
      </c>
      <c r="F61" s="70">
        <v>116299.098</v>
      </c>
      <c r="G61" s="71">
        <v>0.24300564566717447</v>
      </c>
      <c r="H61" s="72">
        <v>4.9275721183607776E-2</v>
      </c>
    </row>
    <row r="62" spans="1:8" x14ac:dyDescent="0.25">
      <c r="A62" s="69">
        <v>117169</v>
      </c>
      <c r="B62" s="69" t="s">
        <v>330</v>
      </c>
      <c r="C62" s="69" t="s">
        <v>193</v>
      </c>
      <c r="D62" s="69" t="s">
        <v>331</v>
      </c>
      <c r="E62" s="69" t="s">
        <v>188</v>
      </c>
      <c r="F62" s="70">
        <v>144109.16279999999</v>
      </c>
      <c r="G62" s="71">
        <v>0.12953989904103447</v>
      </c>
      <c r="H62" s="72">
        <v>9.6836668818592632E-3</v>
      </c>
    </row>
    <row r="63" spans="1:8" x14ac:dyDescent="0.25">
      <c r="A63" s="69">
        <v>117305</v>
      </c>
      <c r="B63" s="69" t="s">
        <v>332</v>
      </c>
      <c r="C63" s="69" t="s">
        <v>229</v>
      </c>
      <c r="D63" s="69" t="s">
        <v>230</v>
      </c>
      <c r="E63" s="69" t="s">
        <v>188</v>
      </c>
      <c r="F63" s="70">
        <v>188068.11660000001</v>
      </c>
      <c r="G63" s="71">
        <v>5.7261447579148035E-2</v>
      </c>
      <c r="H63" s="72">
        <v>7.2643853947619956E-3</v>
      </c>
    </row>
    <row r="64" spans="1:8" x14ac:dyDescent="0.25">
      <c r="A64" s="69">
        <v>118500</v>
      </c>
      <c r="B64" s="69" t="s">
        <v>333</v>
      </c>
      <c r="C64" s="69" t="s">
        <v>229</v>
      </c>
      <c r="D64" s="69" t="s">
        <v>230</v>
      </c>
      <c r="E64" s="69" t="s">
        <v>188</v>
      </c>
      <c r="F64" s="70">
        <v>373279.56300000002</v>
      </c>
      <c r="G64" s="71">
        <v>0.21242444124914495</v>
      </c>
      <c r="H64" s="72">
        <v>4.4683776351970668E-3</v>
      </c>
    </row>
    <row r="65" spans="1:8" x14ac:dyDescent="0.25">
      <c r="A65" s="69">
        <v>122247</v>
      </c>
      <c r="B65" s="69" t="s">
        <v>334</v>
      </c>
      <c r="C65" s="69" t="s">
        <v>335</v>
      </c>
      <c r="D65" s="69" t="s">
        <v>336</v>
      </c>
      <c r="E65" s="69" t="s">
        <v>151</v>
      </c>
      <c r="F65" s="70">
        <v>53589.923999999999</v>
      </c>
      <c r="G65" s="71">
        <v>3.8895371450797356E-2</v>
      </c>
      <c r="H65" s="72">
        <v>1.6642011834319527E-3</v>
      </c>
    </row>
    <row r="66" spans="1:8" x14ac:dyDescent="0.25">
      <c r="A66" s="69">
        <v>125179</v>
      </c>
      <c r="B66" s="69" t="s">
        <v>337</v>
      </c>
      <c r="C66" s="69" t="s">
        <v>193</v>
      </c>
      <c r="D66" s="69" t="s">
        <v>338</v>
      </c>
      <c r="E66" s="69" t="s">
        <v>188</v>
      </c>
      <c r="F66" s="70">
        <v>427342.6458</v>
      </c>
      <c r="G66" s="71">
        <v>0.13424820565848614</v>
      </c>
      <c r="H66" s="72">
        <v>4.2013597127797724E-4</v>
      </c>
    </row>
    <row r="67" spans="1:8" x14ac:dyDescent="0.25">
      <c r="A67" s="69">
        <v>125334</v>
      </c>
      <c r="B67" s="69" t="s">
        <v>339</v>
      </c>
      <c r="C67" s="69" t="s">
        <v>235</v>
      </c>
      <c r="D67" s="69" t="s">
        <v>236</v>
      </c>
      <c r="E67" s="69" t="s">
        <v>188</v>
      </c>
      <c r="F67" s="70">
        <v>417762.74339999998</v>
      </c>
      <c r="G67" s="71">
        <v>0.53427118077470959</v>
      </c>
      <c r="H67" s="72">
        <v>0.11164465786314526</v>
      </c>
    </row>
    <row r="68" spans="1:8" x14ac:dyDescent="0.25">
      <c r="A68" s="69">
        <v>125368</v>
      </c>
      <c r="B68" s="69" t="s">
        <v>340</v>
      </c>
      <c r="C68" s="69" t="s">
        <v>218</v>
      </c>
      <c r="D68" s="69" t="s">
        <v>219</v>
      </c>
      <c r="E68" s="69" t="s">
        <v>188</v>
      </c>
      <c r="F68" s="70">
        <v>482796.02340000001</v>
      </c>
      <c r="G68" s="71">
        <v>5.1719708924180839E-2</v>
      </c>
      <c r="H68" s="72">
        <v>4.0245788454069395E-4</v>
      </c>
    </row>
    <row r="69" spans="1:8" x14ac:dyDescent="0.25">
      <c r="A69" s="69">
        <v>133031</v>
      </c>
      <c r="B69" s="69" t="s">
        <v>341</v>
      </c>
      <c r="C69" s="69" t="s">
        <v>201</v>
      </c>
      <c r="D69" s="69" t="s">
        <v>202</v>
      </c>
      <c r="E69" s="69" t="s">
        <v>151</v>
      </c>
      <c r="F69" s="70">
        <v>408233.90880000003</v>
      </c>
      <c r="G69" s="71">
        <v>8.0938667973776107E-2</v>
      </c>
      <c r="H69" s="72">
        <v>8.1244933206443201E-3</v>
      </c>
    </row>
    <row r="70" spans="1:8" x14ac:dyDescent="0.25">
      <c r="A70" s="69">
        <v>133568</v>
      </c>
      <c r="B70" s="69" t="s">
        <v>342</v>
      </c>
      <c r="C70" s="69" t="s">
        <v>335</v>
      </c>
      <c r="D70" s="69" t="s">
        <v>343</v>
      </c>
      <c r="E70" s="69" t="s">
        <v>151</v>
      </c>
      <c r="F70" s="70">
        <v>179226.09179999999</v>
      </c>
      <c r="G70" s="71">
        <v>0.11500328547587066</v>
      </c>
      <c r="H70" s="72">
        <v>2.7464338939748777E-2</v>
      </c>
    </row>
    <row r="71" spans="1:8" x14ac:dyDescent="0.25">
      <c r="A71" s="69">
        <v>137608</v>
      </c>
      <c r="B71" s="69" t="s">
        <v>344</v>
      </c>
      <c r="C71" s="69" t="s">
        <v>229</v>
      </c>
      <c r="D71" s="69" t="s">
        <v>230</v>
      </c>
      <c r="E71" s="69" t="s">
        <v>188</v>
      </c>
      <c r="F71" s="70">
        <v>38328.989399999999</v>
      </c>
      <c r="G71" s="71">
        <v>3.0154716262881694E-2</v>
      </c>
      <c r="H71" s="72">
        <v>6.0771801883925856E-5</v>
      </c>
    </row>
    <row r="72" spans="1:8" x14ac:dyDescent="0.25">
      <c r="A72" s="69">
        <v>138109</v>
      </c>
      <c r="B72" s="69" t="s">
        <v>345</v>
      </c>
      <c r="C72" s="69" t="s">
        <v>346</v>
      </c>
      <c r="D72" s="69" t="s">
        <v>347</v>
      </c>
      <c r="E72" s="69" t="s">
        <v>188</v>
      </c>
      <c r="F72" s="70">
        <v>753625.24199999997</v>
      </c>
      <c r="G72" s="71">
        <v>0.16755403742169242</v>
      </c>
      <c r="H72" s="72">
        <v>3.8259206121472981E-2</v>
      </c>
    </row>
    <row r="73" spans="1:8" x14ac:dyDescent="0.25">
      <c r="A73" s="69">
        <v>138688</v>
      </c>
      <c r="B73" s="69" t="s">
        <v>348</v>
      </c>
      <c r="C73" s="69" t="s">
        <v>229</v>
      </c>
      <c r="D73" s="69" t="s">
        <v>303</v>
      </c>
      <c r="E73" s="69" t="s">
        <v>188</v>
      </c>
      <c r="F73" s="70">
        <v>475497.49680000002</v>
      </c>
      <c r="G73" s="71">
        <v>0.22952849790901358</v>
      </c>
      <c r="H73" s="72">
        <v>0</v>
      </c>
    </row>
    <row r="74" spans="1:8" x14ac:dyDescent="0.25">
      <c r="A74" s="69">
        <v>138809</v>
      </c>
      <c r="B74" s="69" t="s">
        <v>349</v>
      </c>
      <c r="C74" s="69" t="s">
        <v>235</v>
      </c>
      <c r="D74" s="69" t="s">
        <v>236</v>
      </c>
      <c r="E74" s="69" t="s">
        <v>188</v>
      </c>
      <c r="F74" s="70">
        <v>145449.432</v>
      </c>
      <c r="G74" s="71">
        <v>0.30473631413012325</v>
      </c>
      <c r="H74" s="72">
        <v>1.8258945038731097E-2</v>
      </c>
    </row>
    <row r="75" spans="1:8" x14ac:dyDescent="0.25">
      <c r="A75" s="69">
        <v>138830</v>
      </c>
      <c r="B75" s="69" t="s">
        <v>350</v>
      </c>
      <c r="C75" s="69" t="s">
        <v>235</v>
      </c>
      <c r="D75" s="69" t="s">
        <v>236</v>
      </c>
      <c r="E75" s="69" t="s">
        <v>188</v>
      </c>
      <c r="F75" s="70">
        <v>258667.7868</v>
      </c>
      <c r="G75" s="71">
        <v>0.5845910860053023</v>
      </c>
      <c r="H75" s="72">
        <v>2.0746887966804978E-2</v>
      </c>
    </row>
    <row r="76" spans="1:8" x14ac:dyDescent="0.25">
      <c r="A76" s="69">
        <v>139290</v>
      </c>
      <c r="B76" s="69" t="s">
        <v>351</v>
      </c>
      <c r="C76" s="69" t="s">
        <v>190</v>
      </c>
      <c r="D76" s="69" t="s">
        <v>191</v>
      </c>
      <c r="E76" s="69" t="s">
        <v>188</v>
      </c>
      <c r="F76" s="70">
        <v>779545.79819999996</v>
      </c>
      <c r="G76" s="71">
        <v>1.4079234632965277E-2</v>
      </c>
      <c r="H76" s="72">
        <v>3.6886757654002213E-3</v>
      </c>
    </row>
    <row r="77" spans="1:8" x14ac:dyDescent="0.25">
      <c r="A77" s="69">
        <v>155429</v>
      </c>
      <c r="B77" s="69" t="s">
        <v>352</v>
      </c>
      <c r="C77" s="69" t="s">
        <v>193</v>
      </c>
      <c r="D77" s="69" t="s">
        <v>338</v>
      </c>
      <c r="E77" s="69" t="s">
        <v>188</v>
      </c>
      <c r="F77" s="70">
        <v>773572.95</v>
      </c>
      <c r="G77" s="71">
        <v>0.11230447962276861</v>
      </c>
      <c r="H77" s="72">
        <v>2.2299757281553399E-2</v>
      </c>
    </row>
    <row r="78" spans="1:8" x14ac:dyDescent="0.25">
      <c r="A78" s="69">
        <v>155432</v>
      </c>
      <c r="B78" s="69" t="s">
        <v>353</v>
      </c>
      <c r="C78" s="69" t="s">
        <v>229</v>
      </c>
      <c r="D78" s="69" t="s">
        <v>230</v>
      </c>
      <c r="E78" s="69" t="s">
        <v>188</v>
      </c>
      <c r="F78" s="70">
        <v>25607.896199999999</v>
      </c>
      <c r="G78" s="71">
        <v>1</v>
      </c>
      <c r="H78" s="72">
        <v>0</v>
      </c>
    </row>
    <row r="79" spans="1:8" x14ac:dyDescent="0.25">
      <c r="A79" s="69">
        <v>155436</v>
      </c>
      <c r="B79" s="69" t="s">
        <v>354</v>
      </c>
      <c r="C79" s="69" t="s">
        <v>229</v>
      </c>
      <c r="D79" s="69" t="s">
        <v>230</v>
      </c>
      <c r="E79" s="69" t="s">
        <v>188</v>
      </c>
      <c r="F79" s="70">
        <v>689126.61060000001</v>
      </c>
      <c r="G79" s="71">
        <v>6.7837930622498002E-2</v>
      </c>
      <c r="H79" s="72">
        <v>4.9267151126986082E-3</v>
      </c>
    </row>
    <row r="82" spans="2:3" x14ac:dyDescent="0.25">
      <c r="B82" s="28" t="s">
        <v>241</v>
      </c>
    </row>
    <row r="83" spans="2:3" x14ac:dyDescent="0.25">
      <c r="B83" t="s">
        <v>355</v>
      </c>
    </row>
    <row r="84" spans="2:3" x14ac:dyDescent="0.25">
      <c r="B84" t="s">
        <v>560</v>
      </c>
    </row>
    <row r="86" spans="2:3" x14ac:dyDescent="0.25">
      <c r="B86" s="5" t="s">
        <v>244</v>
      </c>
      <c r="C86" s="22">
        <f>SUM(F4:F79)</f>
        <v>26545445.77139999</v>
      </c>
    </row>
    <row r="89" spans="2:3" x14ac:dyDescent="0.25">
      <c r="B89" s="28" t="s">
        <v>356</v>
      </c>
    </row>
    <row r="90" spans="2:3" x14ac:dyDescent="0.25">
      <c r="B90" t="s">
        <v>357</v>
      </c>
    </row>
    <row r="91" spans="2:3" x14ac:dyDescent="0.25">
      <c r="B91" t="s">
        <v>358</v>
      </c>
    </row>
    <row r="93" spans="2:3" x14ac:dyDescent="0.25">
      <c r="B93" s="170" t="s">
        <v>561</v>
      </c>
    </row>
  </sheetData>
  <autoFilter ref="A3:H79" xr:uid="{7C6F6840-C97F-46A7-99FA-5CDAA0650C5C}"/>
  <conditionalFormatting sqref="A3:A79">
    <cfRule type="duplicateValues" dxfId="0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379B0-C5AA-4322-B162-20FFBC43E600}">
  <dimension ref="A1:I31"/>
  <sheetViews>
    <sheetView workbookViewId="0">
      <selection activeCell="A31" sqref="A31"/>
    </sheetView>
  </sheetViews>
  <sheetFormatPr baseColWidth="10" defaultColWidth="26.85546875" defaultRowHeight="15" x14ac:dyDescent="0.25"/>
  <cols>
    <col min="1" max="1" width="14" customWidth="1"/>
    <col min="2" max="2" width="6.42578125" customWidth="1"/>
    <col min="3" max="3" width="10.28515625" customWidth="1"/>
    <col min="4" max="4" width="51.140625" customWidth="1"/>
    <col min="5" max="5" width="7.85546875" bestFit="1" customWidth="1"/>
    <col min="6" max="6" width="26.140625" style="16" bestFit="1" customWidth="1"/>
    <col min="7" max="7" width="6.7109375" customWidth="1"/>
    <col min="8" max="8" width="52.42578125" bestFit="1" customWidth="1"/>
    <col min="9" max="9" width="11" bestFit="1" customWidth="1"/>
  </cols>
  <sheetData>
    <row r="1" spans="1:9" x14ac:dyDescent="0.25">
      <c r="A1" s="27" t="s">
        <v>548</v>
      </c>
    </row>
    <row r="2" spans="1:9" x14ac:dyDescent="0.25">
      <c r="A2" t="s">
        <v>579</v>
      </c>
    </row>
    <row r="3" spans="1:9" ht="15.75" thickBot="1" x14ac:dyDescent="0.3">
      <c r="A3" s="14" t="s">
        <v>359</v>
      </c>
      <c r="B3" s="14" t="s">
        <v>360</v>
      </c>
      <c r="C3" s="14" t="s">
        <v>361</v>
      </c>
      <c r="D3" s="14" t="s">
        <v>362</v>
      </c>
      <c r="E3" s="14" t="s">
        <v>363</v>
      </c>
      <c r="F3" s="15" t="s">
        <v>364</v>
      </c>
      <c r="H3" s="28" t="s">
        <v>241</v>
      </c>
    </row>
    <row r="4" spans="1:9" x14ac:dyDescent="0.25">
      <c r="A4" s="20" t="s">
        <v>365</v>
      </c>
      <c r="B4" s="6" t="s">
        <v>365</v>
      </c>
      <c r="C4" s="7" t="s">
        <v>365</v>
      </c>
      <c r="D4" s="8" t="s">
        <v>366</v>
      </c>
      <c r="E4" s="9" t="s">
        <v>365</v>
      </c>
      <c r="F4" s="11" t="s">
        <v>367</v>
      </c>
      <c r="H4" t="s">
        <v>368</v>
      </c>
    </row>
    <row r="5" spans="1:9" x14ac:dyDescent="0.25">
      <c r="A5" s="20" t="s">
        <v>369</v>
      </c>
      <c r="B5" s="6" t="s">
        <v>365</v>
      </c>
      <c r="C5" s="7" t="s">
        <v>365</v>
      </c>
      <c r="D5" s="8" t="s">
        <v>370</v>
      </c>
      <c r="E5" s="9" t="s">
        <v>371</v>
      </c>
      <c r="F5" s="11" t="s">
        <v>372</v>
      </c>
      <c r="H5" t="s">
        <v>373</v>
      </c>
    </row>
    <row r="6" spans="1:9" x14ac:dyDescent="0.25">
      <c r="A6" s="20" t="s">
        <v>374</v>
      </c>
      <c r="B6" s="6" t="s">
        <v>365</v>
      </c>
      <c r="C6" s="7" t="s">
        <v>365</v>
      </c>
      <c r="D6" s="8" t="s">
        <v>375</v>
      </c>
      <c r="E6" s="9" t="s">
        <v>376</v>
      </c>
      <c r="F6" s="11" t="s">
        <v>377</v>
      </c>
    </row>
    <row r="7" spans="1:9" x14ac:dyDescent="0.25">
      <c r="A7" s="20" t="s">
        <v>378</v>
      </c>
      <c r="B7" s="6" t="s">
        <v>365</v>
      </c>
      <c r="C7" s="7" t="s">
        <v>365</v>
      </c>
      <c r="D7" s="8" t="s">
        <v>379</v>
      </c>
      <c r="E7" s="9" t="s">
        <v>380</v>
      </c>
      <c r="F7" s="11" t="s">
        <v>381</v>
      </c>
    </row>
    <row r="8" spans="1:9" x14ac:dyDescent="0.25">
      <c r="A8" s="20" t="s">
        <v>365</v>
      </c>
      <c r="B8" s="6" t="s">
        <v>382</v>
      </c>
      <c r="C8" s="7" t="s">
        <v>365</v>
      </c>
      <c r="D8" s="8" t="s">
        <v>383</v>
      </c>
      <c r="E8" s="9" t="s">
        <v>365</v>
      </c>
      <c r="F8" s="11" t="s">
        <v>384</v>
      </c>
      <c r="H8" s="5" t="s">
        <v>244</v>
      </c>
      <c r="I8" s="22">
        <f>$F$4-0.5*$F$5-0.5*$F$7</f>
        <v>16027012</v>
      </c>
    </row>
    <row r="9" spans="1:9" ht="25.5" x14ac:dyDescent="0.25">
      <c r="A9" s="20" t="s">
        <v>365</v>
      </c>
      <c r="B9" s="6" t="s">
        <v>365</v>
      </c>
      <c r="C9" s="7" t="s">
        <v>385</v>
      </c>
      <c r="D9" s="10" t="s">
        <v>386</v>
      </c>
      <c r="E9" s="9" t="s">
        <v>387</v>
      </c>
      <c r="F9" s="12" t="s">
        <v>388</v>
      </c>
    </row>
    <row r="10" spans="1:9" ht="25.5" x14ac:dyDescent="0.25">
      <c r="A10" s="20" t="s">
        <v>365</v>
      </c>
      <c r="B10" s="6" t="s">
        <v>365</v>
      </c>
      <c r="C10" s="7" t="s">
        <v>389</v>
      </c>
      <c r="D10" s="10" t="s">
        <v>390</v>
      </c>
      <c r="E10" s="9" t="s">
        <v>391</v>
      </c>
      <c r="F10" s="12" t="s">
        <v>392</v>
      </c>
    </row>
    <row r="11" spans="1:9" x14ac:dyDescent="0.25">
      <c r="A11" s="20" t="s">
        <v>365</v>
      </c>
      <c r="B11" s="6" t="s">
        <v>393</v>
      </c>
      <c r="C11" s="7" t="s">
        <v>365</v>
      </c>
      <c r="D11" s="8" t="s">
        <v>394</v>
      </c>
      <c r="E11" s="9" t="s">
        <v>395</v>
      </c>
      <c r="F11" s="11" t="s">
        <v>396</v>
      </c>
    </row>
    <row r="12" spans="1:9" x14ac:dyDescent="0.25">
      <c r="A12" s="20" t="s">
        <v>365</v>
      </c>
      <c r="B12" s="6" t="s">
        <v>365</v>
      </c>
      <c r="C12" s="7" t="s">
        <v>397</v>
      </c>
      <c r="D12" s="8" t="s">
        <v>398</v>
      </c>
      <c r="E12" s="9" t="s">
        <v>399</v>
      </c>
      <c r="F12" s="11" t="s">
        <v>400</v>
      </c>
    </row>
    <row r="13" spans="1:9" x14ac:dyDescent="0.25">
      <c r="A13" s="20" t="s">
        <v>365</v>
      </c>
      <c r="B13" s="6" t="s">
        <v>365</v>
      </c>
      <c r="C13" s="7" t="s">
        <v>401</v>
      </c>
      <c r="D13" s="8" t="s">
        <v>402</v>
      </c>
      <c r="E13" s="9" t="s">
        <v>365</v>
      </c>
      <c r="F13" s="11" t="s">
        <v>403</v>
      </c>
    </row>
    <row r="14" spans="1:9" x14ac:dyDescent="0.25">
      <c r="A14" s="20" t="s">
        <v>365</v>
      </c>
      <c r="B14" s="6" t="s">
        <v>365</v>
      </c>
      <c r="C14" s="7" t="s">
        <v>404</v>
      </c>
      <c r="D14" s="8" t="s">
        <v>405</v>
      </c>
      <c r="E14" s="9" t="s">
        <v>406</v>
      </c>
      <c r="F14" s="11" t="s">
        <v>407</v>
      </c>
    </row>
    <row r="15" spans="1:9" ht="25.5" x14ac:dyDescent="0.25">
      <c r="A15" s="20" t="s">
        <v>365</v>
      </c>
      <c r="B15" s="6" t="s">
        <v>365</v>
      </c>
      <c r="C15" s="7" t="s">
        <v>385</v>
      </c>
      <c r="D15" s="10" t="s">
        <v>408</v>
      </c>
      <c r="E15" s="9" t="s">
        <v>406</v>
      </c>
      <c r="F15" s="12" t="s">
        <v>409</v>
      </c>
    </row>
    <row r="16" spans="1:9" ht="25.5" x14ac:dyDescent="0.25">
      <c r="A16" s="20" t="s">
        <v>365</v>
      </c>
      <c r="B16" s="6" t="s">
        <v>365</v>
      </c>
      <c r="C16" s="7" t="s">
        <v>389</v>
      </c>
      <c r="D16" s="10" t="s">
        <v>410</v>
      </c>
      <c r="E16" s="9" t="s">
        <v>411</v>
      </c>
      <c r="F16" s="12" t="s">
        <v>412</v>
      </c>
    </row>
    <row r="17" spans="1:6" x14ac:dyDescent="0.25">
      <c r="A17" s="20" t="s">
        <v>365</v>
      </c>
      <c r="B17" s="6" t="s">
        <v>365</v>
      </c>
      <c r="C17" s="7" t="s">
        <v>413</v>
      </c>
      <c r="D17" s="8" t="s">
        <v>414</v>
      </c>
      <c r="E17" s="9" t="s">
        <v>415</v>
      </c>
      <c r="F17" s="11" t="s">
        <v>416</v>
      </c>
    </row>
    <row r="18" spans="1:6" x14ac:dyDescent="0.25">
      <c r="A18" s="20" t="s">
        <v>365</v>
      </c>
      <c r="B18" s="6" t="s">
        <v>365</v>
      </c>
      <c r="C18" s="7" t="s">
        <v>417</v>
      </c>
      <c r="D18" s="8" t="s">
        <v>418</v>
      </c>
      <c r="E18" s="9" t="s">
        <v>365</v>
      </c>
      <c r="F18" s="11" t="s">
        <v>419</v>
      </c>
    </row>
    <row r="19" spans="1:6" x14ac:dyDescent="0.25">
      <c r="A19" s="20" t="s">
        <v>420</v>
      </c>
      <c r="B19" s="6" t="s">
        <v>365</v>
      </c>
      <c r="C19" s="7" t="s">
        <v>365</v>
      </c>
      <c r="D19" s="8" t="s">
        <v>421</v>
      </c>
      <c r="E19" s="9" t="s">
        <v>365</v>
      </c>
      <c r="F19" s="11" t="s">
        <v>422</v>
      </c>
    </row>
    <row r="20" spans="1:6" x14ac:dyDescent="0.25">
      <c r="A20" s="20" t="s">
        <v>365</v>
      </c>
      <c r="B20" s="6" t="s">
        <v>423</v>
      </c>
      <c r="C20" s="7" t="s">
        <v>365</v>
      </c>
      <c r="D20" s="8" t="s">
        <v>424</v>
      </c>
      <c r="E20" s="9" t="s">
        <v>365</v>
      </c>
      <c r="F20" s="11" t="s">
        <v>422</v>
      </c>
    </row>
    <row r="21" spans="1:6" x14ac:dyDescent="0.25">
      <c r="A21" s="20" t="s">
        <v>425</v>
      </c>
      <c r="B21" s="6" t="s">
        <v>365</v>
      </c>
      <c r="C21" s="7" t="s">
        <v>365</v>
      </c>
      <c r="D21" s="8" t="s">
        <v>426</v>
      </c>
      <c r="E21" s="9" t="s">
        <v>365</v>
      </c>
      <c r="F21" s="11" t="s">
        <v>427</v>
      </c>
    </row>
    <row r="22" spans="1:6" x14ac:dyDescent="0.25">
      <c r="A22" s="20" t="s">
        <v>365</v>
      </c>
      <c r="B22" s="6" t="s">
        <v>428</v>
      </c>
      <c r="C22" s="7" t="s">
        <v>365</v>
      </c>
      <c r="D22" s="8" t="s">
        <v>429</v>
      </c>
      <c r="E22" s="9" t="s">
        <v>365</v>
      </c>
      <c r="F22" s="11" t="s">
        <v>430</v>
      </c>
    </row>
    <row r="23" spans="1:6" x14ac:dyDescent="0.25">
      <c r="A23" s="20" t="s">
        <v>365</v>
      </c>
      <c r="B23" s="6" t="s">
        <v>431</v>
      </c>
      <c r="C23" s="7" t="s">
        <v>365</v>
      </c>
      <c r="D23" s="8" t="s">
        <v>432</v>
      </c>
      <c r="E23" s="9" t="s">
        <v>365</v>
      </c>
      <c r="F23" s="11" t="s">
        <v>433</v>
      </c>
    </row>
    <row r="24" spans="1:6" x14ac:dyDescent="0.25">
      <c r="A24" s="20" t="s">
        <v>365</v>
      </c>
      <c r="B24" s="6" t="s">
        <v>406</v>
      </c>
      <c r="C24" s="7" t="s">
        <v>365</v>
      </c>
      <c r="D24" s="8" t="s">
        <v>434</v>
      </c>
      <c r="E24" s="9" t="s">
        <v>365</v>
      </c>
      <c r="F24" s="11" t="s">
        <v>435</v>
      </c>
    </row>
    <row r="25" spans="1:6" x14ac:dyDescent="0.25">
      <c r="A25" s="20" t="s">
        <v>365</v>
      </c>
      <c r="B25" s="6" t="s">
        <v>436</v>
      </c>
      <c r="C25" s="7" t="s">
        <v>365</v>
      </c>
      <c r="D25" s="8" t="s">
        <v>437</v>
      </c>
      <c r="E25" s="9" t="s">
        <v>365</v>
      </c>
      <c r="F25" s="11" t="s">
        <v>438</v>
      </c>
    </row>
    <row r="26" spans="1:6" x14ac:dyDescent="0.25">
      <c r="A26" s="20" t="s">
        <v>439</v>
      </c>
      <c r="B26" s="6" t="s">
        <v>365</v>
      </c>
      <c r="C26" s="7" t="s">
        <v>365</v>
      </c>
      <c r="D26" s="8" t="s">
        <v>440</v>
      </c>
      <c r="E26" s="9" t="s">
        <v>365</v>
      </c>
      <c r="F26" s="11" t="s">
        <v>441</v>
      </c>
    </row>
    <row r="27" spans="1:6" x14ac:dyDescent="0.25">
      <c r="A27" s="20" t="s">
        <v>365</v>
      </c>
      <c r="B27" s="6" t="s">
        <v>371</v>
      </c>
      <c r="C27" s="7" t="s">
        <v>365</v>
      </c>
      <c r="D27" s="8" t="s">
        <v>442</v>
      </c>
      <c r="E27" s="9" t="s">
        <v>365</v>
      </c>
      <c r="F27" s="11" t="s">
        <v>443</v>
      </c>
    </row>
    <row r="28" spans="1:6" x14ac:dyDescent="0.25">
      <c r="A28" s="20" t="s">
        <v>365</v>
      </c>
      <c r="B28" s="6" t="s">
        <v>428</v>
      </c>
      <c r="C28" s="7" t="s">
        <v>365</v>
      </c>
      <c r="D28" s="8" t="s">
        <v>444</v>
      </c>
      <c r="E28" s="9" t="s">
        <v>365</v>
      </c>
      <c r="F28" s="11" t="s">
        <v>445</v>
      </c>
    </row>
    <row r="29" spans="1:6" x14ac:dyDescent="0.25">
      <c r="A29" s="20" t="s">
        <v>365</v>
      </c>
      <c r="B29" s="6" t="s">
        <v>436</v>
      </c>
      <c r="C29" s="7" t="s">
        <v>365</v>
      </c>
      <c r="D29" s="8" t="s">
        <v>446</v>
      </c>
      <c r="E29" s="9" t="s">
        <v>365</v>
      </c>
      <c r="F29" s="11" t="s">
        <v>447</v>
      </c>
    </row>
    <row r="30" spans="1:6" x14ac:dyDescent="0.25">
      <c r="A30" s="21" t="s">
        <v>448</v>
      </c>
      <c r="B30" s="18" t="s">
        <v>365</v>
      </c>
      <c r="C30" s="19" t="s">
        <v>365</v>
      </c>
      <c r="D30" s="17" t="s">
        <v>449</v>
      </c>
      <c r="E30" s="13" t="s">
        <v>365</v>
      </c>
      <c r="F30" s="13" t="s">
        <v>447</v>
      </c>
    </row>
    <row r="31" spans="1:6" x14ac:dyDescent="0.25">
      <c r="A31" s="103" t="s">
        <v>576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A139-4056-451A-BB81-6BBE0159831A}">
  <dimension ref="A1:I23"/>
  <sheetViews>
    <sheetView workbookViewId="0">
      <selection activeCell="A23" sqref="A23"/>
    </sheetView>
  </sheetViews>
  <sheetFormatPr baseColWidth="10" defaultColWidth="11.42578125" defaultRowHeight="15" x14ac:dyDescent="0.25"/>
  <cols>
    <col min="4" max="4" width="43.7109375" bestFit="1" customWidth="1"/>
    <col min="6" max="6" width="27.140625" customWidth="1"/>
    <col min="8" max="8" width="52.42578125" bestFit="1" customWidth="1"/>
  </cols>
  <sheetData>
    <row r="1" spans="1:9" x14ac:dyDescent="0.25">
      <c r="A1" s="27" t="s">
        <v>549</v>
      </c>
    </row>
    <row r="2" spans="1:9" x14ac:dyDescent="0.25">
      <c r="A2" t="s">
        <v>581</v>
      </c>
    </row>
    <row r="3" spans="1:9" ht="15.75" thickBot="1" x14ac:dyDescent="0.3">
      <c r="A3" s="14" t="s">
        <v>359</v>
      </c>
      <c r="B3" s="14" t="s">
        <v>360</v>
      </c>
      <c r="C3" s="14" t="s">
        <v>361</v>
      </c>
      <c r="D3" s="14" t="s">
        <v>362</v>
      </c>
      <c r="E3" s="14" t="s">
        <v>363</v>
      </c>
      <c r="F3" s="15" t="s">
        <v>364</v>
      </c>
      <c r="H3" s="28" t="s">
        <v>241</v>
      </c>
    </row>
    <row r="4" spans="1:9" x14ac:dyDescent="0.25">
      <c r="A4" s="20" t="s">
        <v>365</v>
      </c>
      <c r="B4" s="6" t="s">
        <v>365</v>
      </c>
      <c r="C4" s="7" t="s">
        <v>365</v>
      </c>
      <c r="D4" s="8" t="s">
        <v>366</v>
      </c>
      <c r="E4" s="9" t="s">
        <v>365</v>
      </c>
      <c r="F4" s="11" t="s">
        <v>450</v>
      </c>
      <c r="H4" t="s">
        <v>368</v>
      </c>
    </row>
    <row r="5" spans="1:9" x14ac:dyDescent="0.25">
      <c r="A5" s="20" t="s">
        <v>369</v>
      </c>
      <c r="B5" s="6" t="s">
        <v>365</v>
      </c>
      <c r="C5" s="7" t="s">
        <v>365</v>
      </c>
      <c r="D5" s="8" t="s">
        <v>370</v>
      </c>
      <c r="E5" s="9" t="s">
        <v>376</v>
      </c>
      <c r="F5" s="11" t="s">
        <v>451</v>
      </c>
      <c r="H5" t="s">
        <v>452</v>
      </c>
    </row>
    <row r="6" spans="1:9" x14ac:dyDescent="0.25">
      <c r="A6" s="20" t="s">
        <v>374</v>
      </c>
      <c r="B6" s="6" t="s">
        <v>365</v>
      </c>
      <c r="C6" s="7" t="s">
        <v>365</v>
      </c>
      <c r="D6" s="8" t="s">
        <v>375</v>
      </c>
      <c r="E6" s="9" t="s">
        <v>428</v>
      </c>
      <c r="F6" s="11" t="s">
        <v>453</v>
      </c>
    </row>
    <row r="7" spans="1:9" x14ac:dyDescent="0.25">
      <c r="A7" s="20" t="s">
        <v>454</v>
      </c>
      <c r="B7" s="6" t="s">
        <v>365</v>
      </c>
      <c r="C7" s="7" t="s">
        <v>365</v>
      </c>
      <c r="D7" s="8" t="s">
        <v>455</v>
      </c>
      <c r="E7" s="9" t="s">
        <v>365</v>
      </c>
      <c r="F7" s="11" t="s">
        <v>447</v>
      </c>
    </row>
    <row r="8" spans="1:9" x14ac:dyDescent="0.25">
      <c r="A8" s="20" t="s">
        <v>365</v>
      </c>
      <c r="B8" s="6" t="s">
        <v>376</v>
      </c>
      <c r="C8" s="7" t="s">
        <v>365</v>
      </c>
      <c r="D8" s="8" t="s">
        <v>456</v>
      </c>
      <c r="E8" s="9" t="s">
        <v>365</v>
      </c>
      <c r="F8" s="11" t="s">
        <v>447</v>
      </c>
      <c r="H8" s="5" t="s">
        <v>244</v>
      </c>
      <c r="I8" s="22">
        <f>$F$4-0.25*$F$5-0.5*$F$9</f>
        <v>6794544.75</v>
      </c>
    </row>
    <row r="9" spans="1:9" x14ac:dyDescent="0.25">
      <c r="A9" s="20" t="s">
        <v>378</v>
      </c>
      <c r="B9" s="6" t="s">
        <v>365</v>
      </c>
      <c r="C9" s="7" t="s">
        <v>365</v>
      </c>
      <c r="D9" s="8" t="s">
        <v>379</v>
      </c>
      <c r="E9" s="9" t="s">
        <v>431</v>
      </c>
      <c r="F9" s="11" t="s">
        <v>457</v>
      </c>
    </row>
    <row r="10" spans="1:9" x14ac:dyDescent="0.25">
      <c r="A10" s="20" t="s">
        <v>365</v>
      </c>
      <c r="B10" s="6" t="s">
        <v>382</v>
      </c>
      <c r="C10" s="7" t="s">
        <v>365</v>
      </c>
      <c r="D10" s="8" t="s">
        <v>383</v>
      </c>
      <c r="E10" s="9" t="s">
        <v>365</v>
      </c>
      <c r="F10" s="11" t="s">
        <v>458</v>
      </c>
    </row>
    <row r="11" spans="1:9" x14ac:dyDescent="0.25">
      <c r="A11" s="20" t="s">
        <v>365</v>
      </c>
      <c r="B11" s="6" t="s">
        <v>365</v>
      </c>
      <c r="C11" s="7" t="s">
        <v>459</v>
      </c>
      <c r="D11" s="8" t="s">
        <v>460</v>
      </c>
      <c r="E11" s="9" t="s">
        <v>406</v>
      </c>
      <c r="F11" s="11" t="s">
        <v>461</v>
      </c>
    </row>
    <row r="12" spans="1:9" x14ac:dyDescent="0.25">
      <c r="A12" s="20" t="s">
        <v>365</v>
      </c>
      <c r="B12" s="6" t="s">
        <v>365</v>
      </c>
      <c r="C12" s="7" t="s">
        <v>462</v>
      </c>
      <c r="D12" s="8" t="s">
        <v>463</v>
      </c>
      <c r="E12" s="9" t="s">
        <v>436</v>
      </c>
      <c r="F12" s="11" t="s">
        <v>464</v>
      </c>
    </row>
    <row r="13" spans="1:9" x14ac:dyDescent="0.25">
      <c r="A13" s="20" t="s">
        <v>365</v>
      </c>
      <c r="B13" s="6" t="s">
        <v>393</v>
      </c>
      <c r="C13" s="7" t="s">
        <v>365</v>
      </c>
      <c r="D13" s="8" t="s">
        <v>394</v>
      </c>
      <c r="E13" s="9" t="s">
        <v>365</v>
      </c>
      <c r="F13" s="11" t="s">
        <v>465</v>
      </c>
    </row>
    <row r="14" spans="1:9" x14ac:dyDescent="0.25">
      <c r="A14" s="20" t="s">
        <v>365</v>
      </c>
      <c r="B14" s="6" t="s">
        <v>365</v>
      </c>
      <c r="C14" s="7" t="s">
        <v>466</v>
      </c>
      <c r="D14" s="8" t="s">
        <v>467</v>
      </c>
      <c r="E14" s="9" t="s">
        <v>468</v>
      </c>
      <c r="F14" s="11" t="s">
        <v>469</v>
      </c>
    </row>
    <row r="15" spans="1:9" x14ac:dyDescent="0.25">
      <c r="A15" s="20" t="s">
        <v>365</v>
      </c>
      <c r="B15" s="6" t="s">
        <v>365</v>
      </c>
      <c r="C15" s="7" t="s">
        <v>470</v>
      </c>
      <c r="D15" s="8" t="s">
        <v>471</v>
      </c>
      <c r="E15" s="9" t="s">
        <v>468</v>
      </c>
      <c r="F15" s="11" t="s">
        <v>472</v>
      </c>
    </row>
    <row r="16" spans="1:9" x14ac:dyDescent="0.25">
      <c r="A16" s="20" t="s">
        <v>420</v>
      </c>
      <c r="B16" s="6" t="s">
        <v>365</v>
      </c>
      <c r="C16" s="7" t="s">
        <v>365</v>
      </c>
      <c r="D16" s="8" t="s">
        <v>421</v>
      </c>
      <c r="E16" s="9" t="s">
        <v>365</v>
      </c>
      <c r="F16" s="11" t="s">
        <v>447</v>
      </c>
    </row>
    <row r="17" spans="1:6" x14ac:dyDescent="0.25">
      <c r="A17" s="20" t="s">
        <v>365</v>
      </c>
      <c r="B17" s="6" t="s">
        <v>423</v>
      </c>
      <c r="C17" s="7" t="s">
        <v>365</v>
      </c>
      <c r="D17" s="8" t="s">
        <v>424</v>
      </c>
      <c r="E17" s="9" t="s">
        <v>365</v>
      </c>
      <c r="F17" s="11" t="s">
        <v>447</v>
      </c>
    </row>
    <row r="18" spans="1:6" x14ac:dyDescent="0.25">
      <c r="A18" s="20" t="s">
        <v>425</v>
      </c>
      <c r="B18" s="6" t="s">
        <v>365</v>
      </c>
      <c r="C18" s="7" t="s">
        <v>365</v>
      </c>
      <c r="D18" s="8" t="s">
        <v>426</v>
      </c>
      <c r="E18" s="9" t="s">
        <v>365</v>
      </c>
      <c r="F18" s="11" t="s">
        <v>473</v>
      </c>
    </row>
    <row r="19" spans="1:6" x14ac:dyDescent="0.25">
      <c r="A19" s="20" t="s">
        <v>365</v>
      </c>
      <c r="B19" s="6" t="s">
        <v>431</v>
      </c>
      <c r="C19" s="7" t="s">
        <v>365</v>
      </c>
      <c r="D19" s="8" t="s">
        <v>432</v>
      </c>
      <c r="E19" s="9" t="s">
        <v>365</v>
      </c>
      <c r="F19" s="11" t="s">
        <v>474</v>
      </c>
    </row>
    <row r="20" spans="1:6" x14ac:dyDescent="0.25">
      <c r="A20" s="20" t="s">
        <v>365</v>
      </c>
      <c r="B20" s="6" t="s">
        <v>436</v>
      </c>
      <c r="C20" s="7" t="s">
        <v>365</v>
      </c>
      <c r="D20" s="8" t="s">
        <v>437</v>
      </c>
      <c r="E20" s="9" t="s">
        <v>365</v>
      </c>
      <c r="F20" s="11" t="s">
        <v>475</v>
      </c>
    </row>
    <row r="21" spans="1:6" x14ac:dyDescent="0.25">
      <c r="A21" s="20" t="s">
        <v>439</v>
      </c>
      <c r="B21" s="6" t="s">
        <v>365</v>
      </c>
      <c r="C21" s="7" t="s">
        <v>365</v>
      </c>
      <c r="D21" s="8" t="s">
        <v>440</v>
      </c>
      <c r="E21" s="9" t="s">
        <v>365</v>
      </c>
      <c r="F21" s="11" t="s">
        <v>447</v>
      </c>
    </row>
    <row r="22" spans="1:6" x14ac:dyDescent="0.25">
      <c r="A22" s="21" t="s">
        <v>365</v>
      </c>
      <c r="B22" s="18" t="s">
        <v>436</v>
      </c>
      <c r="C22" s="19" t="s">
        <v>365</v>
      </c>
      <c r="D22" s="17" t="s">
        <v>446</v>
      </c>
      <c r="E22" s="13" t="s">
        <v>365</v>
      </c>
      <c r="F22" s="13" t="s">
        <v>447</v>
      </c>
    </row>
    <row r="23" spans="1:6" x14ac:dyDescent="0.25">
      <c r="A23" s="103" t="s">
        <v>576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FB5B-379E-4749-9C62-666E7FB18DD5}">
  <dimension ref="A1:B11"/>
  <sheetViews>
    <sheetView workbookViewId="0">
      <selection activeCell="E21" sqref="E21"/>
    </sheetView>
  </sheetViews>
  <sheetFormatPr baseColWidth="10" defaultColWidth="11.42578125" defaultRowHeight="15" x14ac:dyDescent="0.25"/>
  <cols>
    <col min="1" max="1" width="35.28515625" style="1" customWidth="1"/>
    <col min="2" max="2" width="31.5703125" style="1" customWidth="1"/>
    <col min="3" max="16384" width="11.42578125" style="1"/>
  </cols>
  <sheetData>
    <row r="1" spans="1:2" x14ac:dyDescent="0.25">
      <c r="A1" s="28" t="s">
        <v>550</v>
      </c>
    </row>
    <row r="2" spans="1:2" x14ac:dyDescent="0.25">
      <c r="A2" s="5" t="s">
        <v>476</v>
      </c>
      <c r="B2" s="5"/>
    </row>
    <row r="3" spans="1:2" x14ac:dyDescent="0.25">
      <c r="A3" s="5" t="s">
        <v>477</v>
      </c>
      <c r="B3" s="23">
        <v>2234816</v>
      </c>
    </row>
    <row r="4" spans="1:2" x14ac:dyDescent="0.25">
      <c r="A4" s="5" t="s">
        <v>478</v>
      </c>
      <c r="B4" s="23">
        <v>9312715</v>
      </c>
    </row>
    <row r="5" spans="1:2" x14ac:dyDescent="0.25">
      <c r="A5" s="5" t="s">
        <v>479</v>
      </c>
      <c r="B5" s="24">
        <f>SUM(B3:B4)</f>
        <v>11547531</v>
      </c>
    </row>
    <row r="6" spans="1:2" x14ac:dyDescent="0.25">
      <c r="A6" s="103" t="s">
        <v>576</v>
      </c>
    </row>
    <row r="7" spans="1:2" x14ac:dyDescent="0.25">
      <c r="A7" s="103"/>
    </row>
    <row r="8" spans="1:2" x14ac:dyDescent="0.25">
      <c r="A8" s="28" t="s">
        <v>241</v>
      </c>
    </row>
    <row r="9" spans="1:2" x14ac:dyDescent="0.25">
      <c r="A9" s="1" t="s">
        <v>480</v>
      </c>
    </row>
    <row r="10" spans="1:2" x14ac:dyDescent="0.25">
      <c r="A10" s="1" t="s">
        <v>481</v>
      </c>
    </row>
    <row r="11" spans="1:2" x14ac:dyDescent="0.25">
      <c r="A11" s="5" t="s">
        <v>582</v>
      </c>
      <c r="B11" s="24">
        <f>B5*0.5</f>
        <v>5773765.5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FC78-E542-456A-9663-D7A53D131FA7}">
  <dimension ref="B2:C6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3.28515625" customWidth="1"/>
    <col min="2" max="2" width="65.140625" bestFit="1" customWidth="1"/>
    <col min="3" max="3" width="14.7109375" bestFit="1" customWidth="1"/>
  </cols>
  <sheetData>
    <row r="2" spans="2:3" x14ac:dyDescent="0.25">
      <c r="B2" s="27" t="s">
        <v>537</v>
      </c>
    </row>
    <row r="3" spans="2:3" ht="30" x14ac:dyDescent="0.25">
      <c r="B3" s="77" t="s">
        <v>7</v>
      </c>
      <c r="C3" s="78">
        <v>22386</v>
      </c>
    </row>
    <row r="4" spans="2:3" x14ac:dyDescent="0.25">
      <c r="B4" s="77" t="s">
        <v>8</v>
      </c>
      <c r="C4" s="79">
        <v>3611559</v>
      </c>
    </row>
    <row r="5" spans="2:3" x14ac:dyDescent="0.25">
      <c r="B5" s="101" t="s">
        <v>9</v>
      </c>
      <c r="C5" s="104">
        <f>+C4*C3/1000000</f>
        <v>80848.359773999997</v>
      </c>
    </row>
    <row r="6" spans="2:3" x14ac:dyDescent="0.25">
      <c r="B6" s="103" t="s">
        <v>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131F4-D1E0-4575-93AD-212AF8613731}">
  <dimension ref="B3:E17"/>
  <sheetViews>
    <sheetView tabSelected="1" workbookViewId="0">
      <selection activeCell="C28" sqref="B27:C28"/>
    </sheetView>
  </sheetViews>
  <sheetFormatPr baseColWidth="10" defaultColWidth="11.42578125" defaultRowHeight="15" x14ac:dyDescent="0.25"/>
  <cols>
    <col min="2" max="2" width="55" bestFit="1" customWidth="1"/>
    <col min="3" max="3" width="13.7109375" bestFit="1" customWidth="1"/>
  </cols>
  <sheetData>
    <row r="3" spans="2:5" x14ac:dyDescent="0.25">
      <c r="B3" s="27" t="s">
        <v>580</v>
      </c>
    </row>
    <row r="4" spans="2:5" x14ac:dyDescent="0.25">
      <c r="B4" s="56" t="s">
        <v>555</v>
      </c>
      <c r="C4" s="185">
        <f>23967+24537</f>
        <v>48504</v>
      </c>
      <c r="D4" s="75"/>
    </row>
    <row r="5" spans="2:5" x14ac:dyDescent="0.25">
      <c r="B5" s="56" t="s">
        <v>556</v>
      </c>
      <c r="C5" s="185">
        <f>+C4*0.5</f>
        <v>24252</v>
      </c>
    </row>
    <row r="6" spans="2:5" x14ac:dyDescent="0.25">
      <c r="C6" s="16"/>
    </row>
    <row r="7" spans="2:5" x14ac:dyDescent="0.25">
      <c r="B7" s="55" t="s">
        <v>567</v>
      </c>
      <c r="C7" s="54" t="s">
        <v>585</v>
      </c>
    </row>
    <row r="8" spans="2:5" x14ac:dyDescent="0.25">
      <c r="B8" s="56" t="s">
        <v>563</v>
      </c>
      <c r="C8" s="185">
        <v>281297</v>
      </c>
      <c r="D8" s="75"/>
    </row>
    <row r="9" spans="2:5" x14ac:dyDescent="0.25">
      <c r="B9" s="56" t="s">
        <v>564</v>
      </c>
      <c r="C9" s="185">
        <v>559910</v>
      </c>
      <c r="D9" s="75"/>
    </row>
    <row r="10" spans="2:5" x14ac:dyDescent="0.25">
      <c r="B10" s="168" t="s">
        <v>565</v>
      </c>
      <c r="C10" s="186">
        <v>176989</v>
      </c>
      <c r="D10" s="75"/>
    </row>
    <row r="11" spans="2:5" x14ac:dyDescent="0.25">
      <c r="B11" s="56" t="s">
        <v>566</v>
      </c>
      <c r="C11" s="185">
        <f>+SUM(C8:C10)</f>
        <v>1018196</v>
      </c>
      <c r="D11" s="75"/>
    </row>
    <row r="12" spans="2:5" x14ac:dyDescent="0.25">
      <c r="C12" s="187"/>
      <c r="D12" s="75"/>
    </row>
    <row r="13" spans="2:5" x14ac:dyDescent="0.25">
      <c r="B13" s="56" t="s">
        <v>573</v>
      </c>
      <c r="C13" s="185">
        <f>+C11*'Factor de Actualización'!B7-C4</f>
        <v>1014879.6531120837</v>
      </c>
      <c r="E13" s="172"/>
    </row>
    <row r="14" spans="2:5" x14ac:dyDescent="0.25">
      <c r="B14" s="56" t="s">
        <v>586</v>
      </c>
      <c r="C14" s="185">
        <f>+C13*0.02</f>
        <v>20297.593062241674</v>
      </c>
    </row>
    <row r="15" spans="2:5" x14ac:dyDescent="0.25">
      <c r="C15" s="187"/>
      <c r="D15" s="75"/>
    </row>
    <row r="16" spans="2:5" x14ac:dyDescent="0.25">
      <c r="B16" s="56" t="s">
        <v>577</v>
      </c>
      <c r="C16" s="185">
        <f>+C14+C5</f>
        <v>44549.593062241678</v>
      </c>
    </row>
    <row r="17" spans="2:3" x14ac:dyDescent="0.25">
      <c r="B17" s="55" t="s">
        <v>578</v>
      </c>
      <c r="C17" s="188">
        <f>+C16*2</f>
        <v>89099.186124483356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35AFF-210A-435A-BFFE-B571E00DF548}">
  <sheetPr>
    <tabColor rgb="FFFF0000"/>
  </sheetPr>
  <dimension ref="B1:X149"/>
  <sheetViews>
    <sheetView view="pageBreakPreview" zoomScale="82" zoomScaleNormal="91" zoomScaleSheetLayoutView="82" workbookViewId="0">
      <selection activeCell="Z23" sqref="Z23"/>
    </sheetView>
  </sheetViews>
  <sheetFormatPr baseColWidth="10" defaultColWidth="11.42578125" defaultRowHeight="18.75" customHeight="1" x14ac:dyDescent="0.25"/>
  <cols>
    <col min="1" max="1" width="3.85546875" customWidth="1"/>
    <col min="2" max="2" width="9.7109375" style="52" customWidth="1"/>
    <col min="3" max="3" width="15.5703125" style="52" customWidth="1"/>
    <col min="4" max="4" width="14" customWidth="1"/>
    <col min="5" max="5" width="14.5703125" customWidth="1"/>
    <col min="6" max="6" width="15.42578125" customWidth="1"/>
    <col min="7" max="7" width="21" customWidth="1"/>
    <col min="8" max="8" width="15" customWidth="1"/>
    <col min="9" max="9" width="14.28515625" customWidth="1"/>
    <col min="10" max="10" width="12.5703125" customWidth="1"/>
    <col min="11" max="11" width="13.42578125" customWidth="1"/>
    <col min="12" max="12" width="11.28515625" customWidth="1"/>
    <col min="13" max="13" width="6.85546875" customWidth="1"/>
    <col min="14" max="14" width="11.28515625" customWidth="1"/>
    <col min="15" max="15" width="6.5703125" style="53" customWidth="1"/>
    <col min="16" max="16" width="10.7109375" customWidth="1"/>
    <col min="17" max="17" width="8.42578125" customWidth="1"/>
    <col min="18" max="18" width="11.42578125" customWidth="1"/>
    <col min="19" max="19" width="13" customWidth="1"/>
    <col min="20" max="20" width="7" customWidth="1"/>
    <col min="21" max="21" width="11.5703125" customWidth="1"/>
    <col min="22" max="22" width="16.42578125" customWidth="1"/>
    <col min="23" max="23" width="14.42578125" customWidth="1"/>
    <col min="24" max="24" width="8.85546875" bestFit="1" customWidth="1"/>
    <col min="25" max="41" width="5.7109375" customWidth="1"/>
    <col min="42" max="47" width="17" customWidth="1"/>
    <col min="48" max="48" width="11.42578125" customWidth="1"/>
    <col min="49" max="49" width="4.85546875" customWidth="1"/>
  </cols>
  <sheetData>
    <row r="1" spans="2:24" ht="23.25" customHeight="1" x14ac:dyDescent="0.25">
      <c r="B1" s="29"/>
      <c r="C1" s="29"/>
      <c r="D1" s="197" t="s">
        <v>482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</row>
    <row r="2" spans="2:24" ht="21" customHeight="1" x14ac:dyDescent="0.25">
      <c r="B2" s="29"/>
      <c r="C2" s="29"/>
      <c r="D2" s="197" t="s">
        <v>483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</row>
    <row r="3" spans="2:24" ht="24" customHeight="1" x14ac:dyDescent="0.25">
      <c r="B3" s="29"/>
      <c r="C3" s="29"/>
      <c r="D3" s="197" t="s">
        <v>484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</row>
    <row r="4" spans="2:24" ht="24" customHeight="1" x14ac:dyDescent="0.25">
      <c r="B4" s="198" t="s">
        <v>485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</row>
    <row r="5" spans="2:24" ht="22.5" customHeight="1" x14ac:dyDescent="0.25">
      <c r="B5" s="30"/>
      <c r="C5" s="30"/>
      <c r="D5" s="198" t="s">
        <v>486</v>
      </c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</row>
    <row r="6" spans="2:24" ht="18.75" customHeight="1" x14ac:dyDescent="0.25">
      <c r="B6" s="29"/>
      <c r="C6" s="29"/>
      <c r="D6" s="31"/>
      <c r="E6" s="32"/>
      <c r="F6" s="32"/>
      <c r="G6" s="32"/>
      <c r="H6" s="32"/>
      <c r="I6" s="32"/>
      <c r="J6" s="32"/>
      <c r="K6" s="32"/>
      <c r="L6" s="33"/>
      <c r="M6" s="33"/>
      <c r="N6" s="33"/>
      <c r="O6" s="34"/>
      <c r="P6" s="33"/>
      <c r="Q6" s="33"/>
      <c r="R6" s="33"/>
      <c r="S6" s="33"/>
      <c r="T6" s="33"/>
      <c r="U6" s="33"/>
      <c r="V6" s="33"/>
    </row>
    <row r="7" spans="2:24" ht="18.75" customHeight="1" x14ac:dyDescent="0.4">
      <c r="B7" s="29"/>
      <c r="C7" s="29"/>
      <c r="D7" s="31"/>
      <c r="E7" s="32"/>
      <c r="F7" s="32"/>
      <c r="G7" s="32"/>
      <c r="H7" s="32"/>
      <c r="I7" s="32"/>
      <c r="J7" s="32"/>
      <c r="K7" s="32"/>
      <c r="L7" s="35"/>
      <c r="M7" s="35"/>
      <c r="N7" s="35"/>
      <c r="O7" s="36"/>
      <c r="P7" s="35"/>
      <c r="Q7" s="35"/>
      <c r="R7" s="35"/>
      <c r="S7" s="35"/>
      <c r="T7" s="35"/>
      <c r="U7" s="35"/>
      <c r="V7" s="35"/>
    </row>
    <row r="8" spans="2:24" ht="18.75" customHeight="1" x14ac:dyDescent="0.25">
      <c r="B8" s="29"/>
      <c r="C8" s="29"/>
      <c r="E8" s="1"/>
      <c r="F8" s="1"/>
      <c r="G8" s="1"/>
      <c r="H8" s="1"/>
      <c r="I8" s="1"/>
      <c r="J8" s="1"/>
      <c r="K8" s="1"/>
      <c r="L8" s="1"/>
      <c r="M8" s="1"/>
      <c r="N8" s="1"/>
      <c r="O8" s="37"/>
      <c r="P8" s="1"/>
      <c r="Q8" s="1"/>
      <c r="R8" s="1"/>
      <c r="S8" s="1"/>
      <c r="T8" s="1"/>
      <c r="U8" s="1"/>
      <c r="V8" s="1"/>
    </row>
    <row r="9" spans="2:24" ht="75" customHeight="1" x14ac:dyDescent="0.25">
      <c r="B9" s="38" t="s">
        <v>487</v>
      </c>
      <c r="C9" s="38" t="s">
        <v>98</v>
      </c>
      <c r="D9" s="38" t="s">
        <v>488</v>
      </c>
      <c r="E9" s="38" t="s">
        <v>489</v>
      </c>
      <c r="F9" s="38" t="s">
        <v>490</v>
      </c>
      <c r="G9" s="38" t="s">
        <v>491</v>
      </c>
      <c r="H9" s="38" t="s">
        <v>492</v>
      </c>
      <c r="I9" s="38" t="s">
        <v>493</v>
      </c>
      <c r="J9" s="38" t="s">
        <v>494</v>
      </c>
      <c r="K9" s="38" t="s">
        <v>495</v>
      </c>
      <c r="L9" s="38" t="s">
        <v>496</v>
      </c>
      <c r="M9" s="195" t="s">
        <v>497</v>
      </c>
      <c r="N9" s="196"/>
      <c r="O9" s="195" t="s">
        <v>498</v>
      </c>
      <c r="P9" s="196"/>
      <c r="Q9" s="195" t="s">
        <v>499</v>
      </c>
      <c r="R9" s="196"/>
      <c r="S9" s="38" t="s">
        <v>500</v>
      </c>
      <c r="T9" s="195" t="s">
        <v>501</v>
      </c>
      <c r="U9" s="196"/>
      <c r="V9" s="39" t="s">
        <v>502</v>
      </c>
    </row>
    <row r="10" spans="2:24" ht="18.75" customHeight="1" x14ac:dyDescent="0.25">
      <c r="B10" s="40" t="s">
        <v>503</v>
      </c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41"/>
      <c r="O10" s="43"/>
      <c r="P10" s="41"/>
      <c r="Q10" s="42"/>
      <c r="R10" s="41"/>
      <c r="S10" s="41"/>
      <c r="T10" s="42"/>
      <c r="U10" s="41"/>
      <c r="V10" s="44"/>
    </row>
    <row r="11" spans="2:24" ht="18.75" customHeight="1" x14ac:dyDescent="0.25">
      <c r="B11" s="45" t="s">
        <v>504</v>
      </c>
      <c r="C11" s="45"/>
      <c r="D11" s="41">
        <v>766942</v>
      </c>
      <c r="E11" s="41">
        <v>100086</v>
      </c>
      <c r="F11" s="41">
        <v>613556</v>
      </c>
      <c r="G11" s="41">
        <v>0</v>
      </c>
      <c r="H11" s="41">
        <v>230083</v>
      </c>
      <c r="I11" s="41">
        <v>1834278</v>
      </c>
      <c r="J11" s="41">
        <v>134764</v>
      </c>
      <c r="K11" s="41">
        <v>196670</v>
      </c>
      <c r="L11" s="41">
        <v>0</v>
      </c>
      <c r="M11" s="42">
        <v>0.15</v>
      </c>
      <c r="N11" s="41">
        <v>482216</v>
      </c>
      <c r="O11" s="43">
        <v>0.03</v>
      </c>
      <c r="P11" s="41">
        <v>96443</v>
      </c>
      <c r="Q11" s="42"/>
      <c r="R11" s="41">
        <v>0</v>
      </c>
      <c r="S11" s="41">
        <v>0</v>
      </c>
      <c r="T11" s="42">
        <v>1.5</v>
      </c>
      <c r="U11" s="41">
        <v>6682557</v>
      </c>
      <c r="V11" s="44">
        <v>11137595</v>
      </c>
      <c r="W11" s="25"/>
      <c r="X11" s="46"/>
    </row>
    <row r="12" spans="2:24" ht="18.75" customHeight="1" x14ac:dyDescent="0.25">
      <c r="B12" s="45" t="s">
        <v>505</v>
      </c>
      <c r="C12" s="45"/>
      <c r="D12" s="41">
        <v>841479</v>
      </c>
      <c r="E12" s="41">
        <v>109813</v>
      </c>
      <c r="F12" s="41">
        <v>673188</v>
      </c>
      <c r="G12" s="41">
        <v>0</v>
      </c>
      <c r="H12" s="41">
        <v>252444</v>
      </c>
      <c r="I12" s="41">
        <v>2016443</v>
      </c>
      <c r="J12" s="41">
        <v>148069</v>
      </c>
      <c r="K12" s="41">
        <v>222936</v>
      </c>
      <c r="L12" s="41">
        <v>0</v>
      </c>
      <c r="M12" s="42">
        <v>0.15</v>
      </c>
      <c r="N12" s="41">
        <v>529667</v>
      </c>
      <c r="O12" s="43">
        <v>0.03</v>
      </c>
      <c r="P12" s="41">
        <v>105933</v>
      </c>
      <c r="Q12" s="42"/>
      <c r="R12" s="41">
        <v>0</v>
      </c>
      <c r="S12" s="41">
        <v>0</v>
      </c>
      <c r="T12" s="42">
        <v>1.35</v>
      </c>
      <c r="U12" s="41">
        <v>6614962.2000000002</v>
      </c>
      <c r="V12" s="44">
        <v>11514934.199999999</v>
      </c>
      <c r="W12" s="25"/>
      <c r="X12" s="46"/>
    </row>
    <row r="13" spans="2:24" ht="18.75" customHeight="1" x14ac:dyDescent="0.25">
      <c r="B13" s="45" t="s">
        <v>506</v>
      </c>
      <c r="C13" s="45"/>
      <c r="D13" s="41">
        <v>809486</v>
      </c>
      <c r="E13" s="41">
        <v>105638</v>
      </c>
      <c r="F13" s="41">
        <v>647590</v>
      </c>
      <c r="G13" s="41">
        <v>0</v>
      </c>
      <c r="H13" s="41">
        <v>242846</v>
      </c>
      <c r="I13" s="41">
        <v>2010745</v>
      </c>
      <c r="J13" s="41">
        <v>147622</v>
      </c>
      <c r="K13" s="41">
        <v>227815</v>
      </c>
      <c r="L13" s="41">
        <v>0</v>
      </c>
      <c r="M13" s="42">
        <v>0.15</v>
      </c>
      <c r="N13" s="41">
        <v>520173</v>
      </c>
      <c r="O13" s="43">
        <v>0.03</v>
      </c>
      <c r="P13" s="41">
        <v>104035</v>
      </c>
      <c r="Q13" s="42"/>
      <c r="R13" s="41">
        <v>0</v>
      </c>
      <c r="S13" s="41">
        <v>0</v>
      </c>
      <c r="T13" s="42">
        <v>1.2</v>
      </c>
      <c r="U13" s="41">
        <v>5779140</v>
      </c>
      <c r="V13" s="44">
        <v>10595090</v>
      </c>
      <c r="W13" s="25"/>
      <c r="X13" s="46"/>
    </row>
    <row r="14" spans="2:24" ht="18.75" customHeight="1" x14ac:dyDescent="0.25">
      <c r="B14" s="45" t="s">
        <v>507</v>
      </c>
      <c r="C14" s="45"/>
      <c r="D14" s="41">
        <v>720439</v>
      </c>
      <c r="E14" s="41">
        <v>94017</v>
      </c>
      <c r="F14" s="41">
        <v>576353</v>
      </c>
      <c r="G14" s="41">
        <v>288176</v>
      </c>
      <c r="H14" s="41">
        <v>216132</v>
      </c>
      <c r="I14" s="41">
        <v>1340899</v>
      </c>
      <c r="J14" s="41">
        <v>94307</v>
      </c>
      <c r="K14" s="41">
        <v>203775</v>
      </c>
      <c r="L14" s="41">
        <v>0</v>
      </c>
      <c r="M14" s="42">
        <v>0.15</v>
      </c>
      <c r="N14" s="41">
        <v>438880</v>
      </c>
      <c r="O14" s="43">
        <v>0.03</v>
      </c>
      <c r="P14" s="41">
        <v>87776</v>
      </c>
      <c r="Q14" s="42"/>
      <c r="R14" s="41">
        <v>0</v>
      </c>
      <c r="S14" s="41">
        <v>0</v>
      </c>
      <c r="T14" s="42">
        <v>1.2</v>
      </c>
      <c r="U14" s="41">
        <v>4872904.8</v>
      </c>
      <c r="V14" s="44">
        <v>8933658.8000000007</v>
      </c>
      <c r="W14" s="25"/>
      <c r="X14" s="46"/>
    </row>
    <row r="15" spans="2:24" ht="18.75" customHeight="1" x14ac:dyDescent="0.25">
      <c r="B15" s="45">
        <v>3</v>
      </c>
      <c r="C15" s="45"/>
      <c r="D15" s="41">
        <v>876957</v>
      </c>
      <c r="E15" s="41">
        <v>114443</v>
      </c>
      <c r="F15" s="41">
        <v>701573</v>
      </c>
      <c r="G15" s="41">
        <v>350783</v>
      </c>
      <c r="H15" s="41">
        <v>263087</v>
      </c>
      <c r="I15" s="41">
        <v>1638925</v>
      </c>
      <c r="J15" s="41">
        <v>137783</v>
      </c>
      <c r="K15" s="41">
        <v>295698</v>
      </c>
      <c r="L15" s="41">
        <v>0</v>
      </c>
      <c r="M15" s="42">
        <v>0.15</v>
      </c>
      <c r="N15" s="41">
        <v>535236</v>
      </c>
      <c r="O15" s="43">
        <v>0.03</v>
      </c>
      <c r="P15" s="41">
        <v>107047</v>
      </c>
      <c r="Q15" s="42"/>
      <c r="R15" s="41">
        <v>0</v>
      </c>
      <c r="S15" s="41">
        <v>0</v>
      </c>
      <c r="T15" s="42">
        <v>0.5</v>
      </c>
      <c r="U15" s="41">
        <v>2510766</v>
      </c>
      <c r="V15" s="44">
        <v>7532298</v>
      </c>
      <c r="W15" s="25"/>
      <c r="X15" s="46"/>
    </row>
    <row r="16" spans="2:24" ht="18.75" customHeight="1" x14ac:dyDescent="0.25">
      <c r="B16" s="47"/>
      <c r="C16" s="47"/>
      <c r="D16" s="25"/>
      <c r="E16" s="25"/>
      <c r="F16" s="25"/>
      <c r="G16" s="25"/>
      <c r="H16" s="25"/>
      <c r="I16" s="25"/>
      <c r="J16" s="25"/>
      <c r="K16" s="25"/>
      <c r="L16" s="25"/>
      <c r="M16" s="48"/>
      <c r="N16" s="25"/>
      <c r="O16" s="49"/>
      <c r="P16" s="25"/>
      <c r="Q16" s="48"/>
      <c r="R16" s="25"/>
      <c r="S16" s="25"/>
      <c r="T16" s="48"/>
      <c r="U16" s="25"/>
      <c r="V16" s="50"/>
      <c r="W16" s="25"/>
      <c r="X16" s="46"/>
    </row>
    <row r="17" spans="2:24" ht="18.75" customHeight="1" x14ac:dyDescent="0.25">
      <c r="B17" s="51" t="s">
        <v>508</v>
      </c>
      <c r="C17" s="5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46"/>
    </row>
    <row r="18" spans="2:24" ht="18.75" customHeight="1" x14ac:dyDescent="0.25">
      <c r="B18" s="45" t="s">
        <v>509</v>
      </c>
      <c r="C18" s="45"/>
      <c r="D18" s="41">
        <v>953877</v>
      </c>
      <c r="E18" s="41">
        <v>124481</v>
      </c>
      <c r="F18" s="41">
        <v>763106</v>
      </c>
      <c r="G18" s="41">
        <v>381551</v>
      </c>
      <c r="H18" s="41">
        <v>286163</v>
      </c>
      <c r="I18" s="41">
        <v>1776560</v>
      </c>
      <c r="J18" s="41">
        <v>128869</v>
      </c>
      <c r="K18" s="41">
        <v>278120</v>
      </c>
      <c r="L18" s="41">
        <v>0</v>
      </c>
      <c r="M18" s="42">
        <v>0.15</v>
      </c>
      <c r="N18" s="41">
        <v>581264</v>
      </c>
      <c r="O18" s="43">
        <v>7.5999999999999998E-2</v>
      </c>
      <c r="P18" s="41">
        <v>294507</v>
      </c>
      <c r="Q18" s="42"/>
      <c r="R18" s="41">
        <v>0</v>
      </c>
      <c r="S18" s="41">
        <v>0</v>
      </c>
      <c r="T18" s="42"/>
      <c r="U18" s="41">
        <v>0</v>
      </c>
      <c r="V18" s="44">
        <v>5568498</v>
      </c>
      <c r="W18" s="25"/>
      <c r="X18" s="46"/>
    </row>
    <row r="19" spans="2:24" ht="18.75" customHeight="1" x14ac:dyDescent="0.25">
      <c r="B19" s="45" t="s">
        <v>510</v>
      </c>
      <c r="C19" s="45"/>
      <c r="D19" s="41">
        <v>935214</v>
      </c>
      <c r="E19" s="41">
        <v>122045</v>
      </c>
      <c r="F19" s="41">
        <v>748173</v>
      </c>
      <c r="G19" s="41">
        <v>374086</v>
      </c>
      <c r="H19" s="41">
        <v>280564</v>
      </c>
      <c r="I19" s="41">
        <v>1742964</v>
      </c>
      <c r="J19" s="41">
        <v>130331</v>
      </c>
      <c r="K19" s="41">
        <v>280958</v>
      </c>
      <c r="L19" s="41">
        <v>0</v>
      </c>
      <c r="M19" s="42">
        <v>0.15</v>
      </c>
      <c r="N19" s="41">
        <v>570066</v>
      </c>
      <c r="O19" s="43">
        <v>7.5999999999999998E-2</v>
      </c>
      <c r="P19" s="41">
        <v>288833</v>
      </c>
      <c r="Q19" s="42"/>
      <c r="R19" s="41">
        <v>0</v>
      </c>
      <c r="S19" s="41">
        <v>0</v>
      </c>
      <c r="T19" s="42"/>
      <c r="U19" s="41">
        <v>0</v>
      </c>
      <c r="V19" s="44">
        <v>5473234</v>
      </c>
      <c r="W19" s="25"/>
      <c r="X19" s="46"/>
    </row>
    <row r="20" spans="2:24" ht="18.75" customHeight="1" x14ac:dyDescent="0.25">
      <c r="B20" s="45">
        <v>2</v>
      </c>
      <c r="C20" s="45"/>
      <c r="D20" s="41">
        <v>916867</v>
      </c>
      <c r="E20" s="41">
        <v>119651</v>
      </c>
      <c r="F20" s="41">
        <v>733492</v>
      </c>
      <c r="G20" s="41">
        <v>366747</v>
      </c>
      <c r="H20" s="41">
        <v>275060</v>
      </c>
      <c r="I20" s="41">
        <v>1709928</v>
      </c>
      <c r="J20" s="41">
        <v>131793</v>
      </c>
      <c r="K20" s="41">
        <v>283768</v>
      </c>
      <c r="L20" s="41">
        <v>0</v>
      </c>
      <c r="M20" s="42">
        <v>0.15</v>
      </c>
      <c r="N20" s="41">
        <v>559055</v>
      </c>
      <c r="O20" s="43">
        <v>7.5999999999999998E-2</v>
      </c>
      <c r="P20" s="41">
        <v>283255</v>
      </c>
      <c r="Q20" s="42"/>
      <c r="R20" s="41">
        <v>0</v>
      </c>
      <c r="S20" s="41">
        <v>0</v>
      </c>
      <c r="T20" s="42"/>
      <c r="U20" s="41">
        <v>0</v>
      </c>
      <c r="V20" s="44">
        <v>5379616</v>
      </c>
      <c r="W20" s="25"/>
      <c r="X20" s="46"/>
    </row>
    <row r="21" spans="2:24" ht="18.75" customHeight="1" x14ac:dyDescent="0.25">
      <c r="B21" s="45">
        <v>3</v>
      </c>
      <c r="C21" s="45"/>
      <c r="D21" s="41">
        <v>876957</v>
      </c>
      <c r="E21" s="41">
        <v>114443</v>
      </c>
      <c r="F21" s="41">
        <v>701573</v>
      </c>
      <c r="G21" s="41">
        <v>350783</v>
      </c>
      <c r="H21" s="41">
        <v>263087</v>
      </c>
      <c r="I21" s="41">
        <v>1638925</v>
      </c>
      <c r="J21" s="41">
        <v>137783</v>
      </c>
      <c r="K21" s="41">
        <v>295698</v>
      </c>
      <c r="L21" s="41">
        <v>0</v>
      </c>
      <c r="M21" s="42">
        <v>0.15</v>
      </c>
      <c r="N21" s="41">
        <v>535236</v>
      </c>
      <c r="O21" s="43">
        <v>7.5999999999999998E-2</v>
      </c>
      <c r="P21" s="41">
        <v>271186</v>
      </c>
      <c r="Q21" s="42"/>
      <c r="R21" s="41">
        <v>0</v>
      </c>
      <c r="S21" s="41">
        <v>0</v>
      </c>
      <c r="T21" s="42"/>
      <c r="U21" s="41">
        <v>0</v>
      </c>
      <c r="V21" s="44">
        <v>5185671</v>
      </c>
      <c r="W21" s="25"/>
      <c r="X21" s="46"/>
    </row>
    <row r="22" spans="2:24" ht="18.75" customHeight="1" x14ac:dyDescent="0.25">
      <c r="B22" s="45">
        <v>4</v>
      </c>
      <c r="C22" s="45"/>
      <c r="D22" s="41">
        <v>827340</v>
      </c>
      <c r="E22" s="41">
        <v>107968</v>
      </c>
      <c r="F22" s="41">
        <v>661868</v>
      </c>
      <c r="G22" s="41">
        <v>330936</v>
      </c>
      <c r="H22" s="41">
        <v>248202</v>
      </c>
      <c r="I22" s="41">
        <v>1549612</v>
      </c>
      <c r="J22" s="41">
        <v>141699</v>
      </c>
      <c r="K22" s="41">
        <v>303272</v>
      </c>
      <c r="L22" s="41">
        <v>0</v>
      </c>
      <c r="M22" s="42">
        <v>0.15</v>
      </c>
      <c r="N22" s="41">
        <v>505463</v>
      </c>
      <c r="O22" s="43">
        <v>7.5999999999999998E-2</v>
      </c>
      <c r="P22" s="41">
        <v>256101</v>
      </c>
      <c r="Q22" s="42"/>
      <c r="R22" s="41">
        <v>0</v>
      </c>
      <c r="S22" s="41">
        <v>0</v>
      </c>
      <c r="T22" s="42"/>
      <c r="U22" s="41">
        <v>0</v>
      </c>
      <c r="V22" s="44">
        <v>4932461</v>
      </c>
      <c r="W22" s="25"/>
      <c r="X22" s="46"/>
    </row>
    <row r="23" spans="2:24" ht="18.75" customHeight="1" x14ac:dyDescent="0.25">
      <c r="B23"/>
      <c r="C23"/>
      <c r="O23"/>
      <c r="W23" s="25"/>
      <c r="X23" s="46"/>
    </row>
    <row r="24" spans="2:24" ht="18.75" customHeight="1" x14ac:dyDescent="0.25">
      <c r="B24"/>
      <c r="C24"/>
      <c r="O24"/>
      <c r="W24" s="25"/>
      <c r="X24" s="46"/>
    </row>
    <row r="25" spans="2:24" ht="18.75" customHeight="1" x14ac:dyDescent="0.25">
      <c r="B25" s="51" t="s">
        <v>511</v>
      </c>
      <c r="C25" s="5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46"/>
    </row>
    <row r="26" spans="2:24" ht="18.75" customHeight="1" x14ac:dyDescent="0.25">
      <c r="B26" s="45" t="s">
        <v>510</v>
      </c>
      <c r="C26" s="45"/>
      <c r="D26" s="41">
        <v>935214</v>
      </c>
      <c r="E26" s="41">
        <v>122045</v>
      </c>
      <c r="F26" s="41">
        <v>748173</v>
      </c>
      <c r="G26" s="41">
        <v>374086</v>
      </c>
      <c r="H26" s="41">
        <v>0</v>
      </c>
      <c r="I26" s="41">
        <v>1844102</v>
      </c>
      <c r="J26" s="41">
        <v>130331</v>
      </c>
      <c r="K26" s="41">
        <v>280958</v>
      </c>
      <c r="L26" s="41">
        <v>0</v>
      </c>
      <c r="M26" s="42">
        <v>0.15</v>
      </c>
      <c r="N26" s="41">
        <v>585236</v>
      </c>
      <c r="O26" s="43">
        <v>7.5999999999999998E-2</v>
      </c>
      <c r="P26" s="41">
        <v>296520</v>
      </c>
      <c r="Q26" s="42">
        <v>0.08</v>
      </c>
      <c r="R26" s="41">
        <v>312126</v>
      </c>
      <c r="S26" s="41">
        <v>0</v>
      </c>
      <c r="T26" s="42"/>
      <c r="U26" s="41">
        <v>0</v>
      </c>
      <c r="V26" s="44">
        <v>5628791</v>
      </c>
      <c r="W26" s="25"/>
      <c r="X26" s="46"/>
    </row>
    <row r="27" spans="2:24" ht="18.75" customHeight="1" x14ac:dyDescent="0.25">
      <c r="B27" s="45">
        <v>2</v>
      </c>
      <c r="C27" s="45"/>
      <c r="D27" s="41">
        <v>916867</v>
      </c>
      <c r="E27" s="41">
        <v>119651</v>
      </c>
      <c r="F27" s="41">
        <v>733492</v>
      </c>
      <c r="G27" s="41">
        <v>366747</v>
      </c>
      <c r="H27" s="41">
        <v>0</v>
      </c>
      <c r="I27" s="41">
        <v>1709191</v>
      </c>
      <c r="J27" s="41">
        <v>131793</v>
      </c>
      <c r="K27" s="41">
        <v>283768</v>
      </c>
      <c r="L27" s="41">
        <v>0</v>
      </c>
      <c r="M27" s="42">
        <v>0.15</v>
      </c>
      <c r="N27" s="41">
        <v>558945</v>
      </c>
      <c r="O27" s="43">
        <v>7.5999999999999998E-2</v>
      </c>
      <c r="P27" s="41">
        <v>283199</v>
      </c>
      <c r="Q27" s="42">
        <v>0.08</v>
      </c>
      <c r="R27" s="41">
        <v>298103.76</v>
      </c>
      <c r="S27" s="41">
        <v>0</v>
      </c>
      <c r="T27" s="42"/>
      <c r="U27" s="41">
        <v>0</v>
      </c>
      <c r="V27" s="44">
        <v>5401756.7599999998</v>
      </c>
      <c r="W27" s="25"/>
      <c r="X27" s="46"/>
    </row>
    <row r="28" spans="2:24" ht="18.75" customHeight="1" x14ac:dyDescent="0.25">
      <c r="B28" s="45">
        <v>3</v>
      </c>
      <c r="C28" s="45"/>
      <c r="D28" s="41">
        <v>876957</v>
      </c>
      <c r="E28" s="41">
        <v>114443</v>
      </c>
      <c r="F28" s="41">
        <v>701573</v>
      </c>
      <c r="G28" s="41">
        <v>350783</v>
      </c>
      <c r="H28" s="41">
        <v>0</v>
      </c>
      <c r="I28" s="41">
        <v>1637428</v>
      </c>
      <c r="J28" s="41">
        <v>137783</v>
      </c>
      <c r="K28" s="41">
        <v>295698</v>
      </c>
      <c r="L28" s="41">
        <v>0</v>
      </c>
      <c r="M28" s="42">
        <v>0.15</v>
      </c>
      <c r="N28" s="41">
        <v>535011</v>
      </c>
      <c r="O28" s="43">
        <v>7.5999999999999998E-2</v>
      </c>
      <c r="P28" s="41">
        <v>271072</v>
      </c>
      <c r="Q28" s="42">
        <v>0.08</v>
      </c>
      <c r="R28" s="41">
        <v>285339.28000000003</v>
      </c>
      <c r="S28" s="41">
        <v>0</v>
      </c>
      <c r="T28" s="42"/>
      <c r="U28" s="41">
        <v>0</v>
      </c>
      <c r="V28" s="44">
        <v>5206087.28</v>
      </c>
      <c r="W28" s="25"/>
      <c r="X28" s="46"/>
    </row>
    <row r="29" spans="2:24" ht="18.75" customHeight="1" x14ac:dyDescent="0.25">
      <c r="B29" s="45">
        <v>4</v>
      </c>
      <c r="C29" s="45"/>
      <c r="D29" s="41">
        <v>827340</v>
      </c>
      <c r="E29" s="41">
        <v>107968</v>
      </c>
      <c r="F29" s="41">
        <v>661868</v>
      </c>
      <c r="G29" s="41">
        <v>330936</v>
      </c>
      <c r="H29" s="41">
        <v>0</v>
      </c>
      <c r="I29" s="41">
        <v>1547358</v>
      </c>
      <c r="J29" s="41">
        <v>141699</v>
      </c>
      <c r="K29" s="41">
        <v>303272</v>
      </c>
      <c r="L29" s="41">
        <v>0</v>
      </c>
      <c r="M29" s="42">
        <v>0.15</v>
      </c>
      <c r="N29" s="41">
        <v>505125</v>
      </c>
      <c r="O29" s="43">
        <v>7.5999999999999998E-2</v>
      </c>
      <c r="P29" s="41">
        <v>255930</v>
      </c>
      <c r="Q29" s="42">
        <v>0.08</v>
      </c>
      <c r="R29" s="41">
        <v>269400.16000000003</v>
      </c>
      <c r="S29" s="41">
        <v>0</v>
      </c>
      <c r="T29" s="42"/>
      <c r="U29" s="41">
        <v>0</v>
      </c>
      <c r="V29" s="44">
        <v>4950896.16</v>
      </c>
      <c r="W29" s="25"/>
      <c r="X29" s="46"/>
    </row>
    <row r="30" spans="2:24" ht="18.75" customHeight="1" x14ac:dyDescent="0.25">
      <c r="B30" s="45">
        <v>5</v>
      </c>
      <c r="C30" s="45"/>
      <c r="D30" s="41">
        <v>795230</v>
      </c>
      <c r="E30" s="41">
        <v>103778</v>
      </c>
      <c r="F30" s="41">
        <v>672140</v>
      </c>
      <c r="G30" s="41">
        <v>0</v>
      </c>
      <c r="H30" s="41">
        <v>0</v>
      </c>
      <c r="I30" s="41">
        <v>1550935</v>
      </c>
      <c r="J30" s="41">
        <v>150249</v>
      </c>
      <c r="K30" s="41">
        <v>321221</v>
      </c>
      <c r="L30" s="41">
        <v>0</v>
      </c>
      <c r="M30" s="42">
        <v>0.15</v>
      </c>
      <c r="N30" s="41">
        <v>452746</v>
      </c>
      <c r="O30" s="43">
        <v>7.5999999999999998E-2</v>
      </c>
      <c r="P30" s="41">
        <v>229391</v>
      </c>
      <c r="Q30" s="42">
        <v>0.08</v>
      </c>
      <c r="R30" s="41">
        <v>241464.4</v>
      </c>
      <c r="S30" s="41">
        <v>0</v>
      </c>
      <c r="T30" s="42"/>
      <c r="U30" s="41">
        <v>0</v>
      </c>
      <c r="V30" s="44">
        <v>4517154.4000000004</v>
      </c>
      <c r="W30" s="25"/>
      <c r="X30" s="46"/>
    </row>
    <row r="31" spans="2:24" ht="18.75" customHeight="1" x14ac:dyDescent="0.25">
      <c r="B31" s="45">
        <v>6</v>
      </c>
      <c r="C31" s="45"/>
      <c r="D31" s="41">
        <v>750159</v>
      </c>
      <c r="E31" s="41">
        <v>97896</v>
      </c>
      <c r="F31" s="41">
        <v>600120</v>
      </c>
      <c r="G31" s="41">
        <v>0</v>
      </c>
      <c r="H31" s="41">
        <v>0</v>
      </c>
      <c r="I31" s="41">
        <v>1340491</v>
      </c>
      <c r="J31" s="41">
        <v>141704</v>
      </c>
      <c r="K31" s="41">
        <v>340161</v>
      </c>
      <c r="L31" s="41">
        <v>0</v>
      </c>
      <c r="M31" s="42">
        <v>0.15</v>
      </c>
      <c r="N31" s="41">
        <v>403616</v>
      </c>
      <c r="O31" s="43">
        <v>7.5999999999999998E-2</v>
      </c>
      <c r="P31" s="41">
        <v>204499</v>
      </c>
      <c r="Q31" s="42">
        <v>0.08</v>
      </c>
      <c r="R31" s="41">
        <v>215261.6</v>
      </c>
      <c r="S31" s="41">
        <v>0</v>
      </c>
      <c r="T31" s="42"/>
      <c r="U31" s="41">
        <v>0</v>
      </c>
      <c r="V31" s="44">
        <v>4093907.6</v>
      </c>
      <c r="W31" s="25"/>
      <c r="X31" s="46"/>
    </row>
    <row r="32" spans="2:24" ht="18.75" customHeight="1" x14ac:dyDescent="0.25">
      <c r="B32" s="45">
        <v>7</v>
      </c>
      <c r="C32" s="45"/>
      <c r="D32" s="41">
        <v>691460</v>
      </c>
      <c r="E32" s="41">
        <v>90236</v>
      </c>
      <c r="F32" s="41">
        <v>547590</v>
      </c>
      <c r="G32" s="41">
        <v>0</v>
      </c>
      <c r="H32" s="41">
        <v>0</v>
      </c>
      <c r="I32" s="41">
        <v>1231021</v>
      </c>
      <c r="J32" s="41">
        <v>120492</v>
      </c>
      <c r="K32" s="41">
        <v>292283</v>
      </c>
      <c r="L32" s="41">
        <v>0</v>
      </c>
      <c r="M32" s="42">
        <v>0.15</v>
      </c>
      <c r="N32" s="41">
        <v>370511</v>
      </c>
      <c r="O32" s="43">
        <v>7.5999999999999998E-2</v>
      </c>
      <c r="P32" s="41">
        <v>187725</v>
      </c>
      <c r="Q32" s="42">
        <v>0.08</v>
      </c>
      <c r="R32" s="41">
        <v>197605.68</v>
      </c>
      <c r="S32" s="41">
        <v>0</v>
      </c>
      <c r="T32" s="42"/>
      <c r="U32" s="41">
        <v>0</v>
      </c>
      <c r="V32" s="44">
        <v>3728923.6799999997</v>
      </c>
      <c r="W32" s="25"/>
      <c r="X32" s="46"/>
    </row>
    <row r="33" spans="2:24" ht="18.75" customHeight="1" x14ac:dyDescent="0.25">
      <c r="B33" s="45">
        <v>8</v>
      </c>
      <c r="C33" s="45"/>
      <c r="D33" s="41">
        <v>640191</v>
      </c>
      <c r="E33" s="41">
        <v>83545</v>
      </c>
      <c r="F33" s="41">
        <v>491125</v>
      </c>
      <c r="G33" s="41">
        <v>0</v>
      </c>
      <c r="H33" s="41">
        <v>0</v>
      </c>
      <c r="I33" s="41">
        <v>1106297</v>
      </c>
      <c r="J33" s="41">
        <v>111539</v>
      </c>
      <c r="K33" s="41">
        <v>270628</v>
      </c>
      <c r="L33" s="41">
        <v>0</v>
      </c>
      <c r="M33" s="42">
        <v>0.15</v>
      </c>
      <c r="N33" s="41">
        <v>335642</v>
      </c>
      <c r="O33" s="43">
        <v>7.5999999999999998E-2</v>
      </c>
      <c r="P33" s="41">
        <v>170059</v>
      </c>
      <c r="Q33" s="42">
        <v>0.08</v>
      </c>
      <c r="R33" s="41">
        <v>179009.04</v>
      </c>
      <c r="S33" s="41">
        <v>140365.5582</v>
      </c>
      <c r="T33" s="42"/>
      <c r="U33" s="41">
        <v>0</v>
      </c>
      <c r="V33" s="44">
        <v>3528400.5981999999</v>
      </c>
      <c r="W33" s="25"/>
      <c r="X33" s="46"/>
    </row>
    <row r="34" spans="2:24" ht="18.75" customHeight="1" x14ac:dyDescent="0.25">
      <c r="B34" s="45">
        <v>9</v>
      </c>
      <c r="C34" s="45"/>
      <c r="D34" s="41">
        <v>592709</v>
      </c>
      <c r="E34" s="41">
        <v>77349</v>
      </c>
      <c r="F34" s="41">
        <v>444448</v>
      </c>
      <c r="G34" s="41">
        <v>0</v>
      </c>
      <c r="H34" s="41">
        <v>0</v>
      </c>
      <c r="I34" s="41">
        <v>1003117</v>
      </c>
      <c r="J34" s="41">
        <v>99509</v>
      </c>
      <c r="K34" s="41">
        <v>241349</v>
      </c>
      <c r="L34" s="41">
        <v>0</v>
      </c>
      <c r="M34" s="42">
        <v>0.15</v>
      </c>
      <c r="N34" s="41">
        <v>306041</v>
      </c>
      <c r="O34" s="43">
        <v>7.5999999999999998E-2</v>
      </c>
      <c r="P34" s="41">
        <v>155061</v>
      </c>
      <c r="Q34" s="42">
        <v>0.08</v>
      </c>
      <c r="R34" s="41">
        <v>163221.92000000001</v>
      </c>
      <c r="S34" s="41">
        <v>127986.40360000001</v>
      </c>
      <c r="T34" s="42"/>
      <c r="U34" s="41">
        <v>0</v>
      </c>
      <c r="V34" s="44">
        <v>3210791.3235999998</v>
      </c>
      <c r="W34" s="25"/>
      <c r="X34" s="46"/>
    </row>
    <row r="35" spans="2:24" ht="18.75" customHeight="1" x14ac:dyDescent="0.25">
      <c r="B35" s="45">
        <v>10</v>
      </c>
      <c r="C35" s="45"/>
      <c r="D35" s="41">
        <v>548845</v>
      </c>
      <c r="E35" s="41">
        <v>71624</v>
      </c>
      <c r="F35" s="41">
        <v>402209</v>
      </c>
      <c r="G35" s="41">
        <v>0</v>
      </c>
      <c r="H35" s="41">
        <v>0</v>
      </c>
      <c r="I35" s="41">
        <v>916912</v>
      </c>
      <c r="J35" s="41">
        <v>92131</v>
      </c>
      <c r="K35" s="41">
        <v>223491</v>
      </c>
      <c r="L35" s="41">
        <v>0</v>
      </c>
      <c r="M35" s="42">
        <v>0.15</v>
      </c>
      <c r="N35" s="41">
        <v>280195</v>
      </c>
      <c r="O35" s="43">
        <v>7.5999999999999998E-2</v>
      </c>
      <c r="P35" s="41">
        <v>141965</v>
      </c>
      <c r="Q35" s="42">
        <v>0.08</v>
      </c>
      <c r="R35" s="41">
        <v>149437.28</v>
      </c>
      <c r="S35" s="41">
        <v>117177.4424</v>
      </c>
      <c r="T35" s="42"/>
      <c r="U35" s="41">
        <v>0</v>
      </c>
      <c r="V35" s="44">
        <v>2943986.7223999999</v>
      </c>
      <c r="W35" s="25"/>
      <c r="X35" s="46"/>
    </row>
    <row r="36" spans="2:24" ht="18.75" customHeight="1" x14ac:dyDescent="0.25">
      <c r="B36" s="45">
        <v>11</v>
      </c>
      <c r="C36" s="45"/>
      <c r="D36" s="41">
        <v>508223</v>
      </c>
      <c r="E36" s="41">
        <v>66323</v>
      </c>
      <c r="F36" s="41">
        <v>363998</v>
      </c>
      <c r="G36" s="41">
        <v>0</v>
      </c>
      <c r="H36" s="41">
        <v>0</v>
      </c>
      <c r="I36" s="41">
        <v>841912</v>
      </c>
      <c r="J36" s="41">
        <v>85320</v>
      </c>
      <c r="K36" s="41">
        <v>206954</v>
      </c>
      <c r="L36" s="41">
        <v>0</v>
      </c>
      <c r="M36" s="42">
        <v>0.15</v>
      </c>
      <c r="N36" s="41">
        <v>257120</v>
      </c>
      <c r="O36" s="43">
        <v>7.5999999999999998E-2</v>
      </c>
      <c r="P36" s="41">
        <v>130274</v>
      </c>
      <c r="Q36" s="42">
        <v>0.08</v>
      </c>
      <c r="R36" s="41">
        <v>137130.64000000001</v>
      </c>
      <c r="S36" s="41">
        <v>107527.5512</v>
      </c>
      <c r="T36" s="42"/>
      <c r="U36" s="41">
        <v>0</v>
      </c>
      <c r="V36" s="44">
        <v>2704782.1912000002</v>
      </c>
      <c r="W36" s="25"/>
      <c r="X36" s="46"/>
    </row>
    <row r="37" spans="2:24" ht="18.75" customHeight="1" x14ac:dyDescent="0.25">
      <c r="B37" s="45">
        <v>12</v>
      </c>
      <c r="C37" s="45"/>
      <c r="D37" s="41">
        <v>470574</v>
      </c>
      <c r="E37" s="41">
        <v>61410</v>
      </c>
      <c r="F37" s="41">
        <v>329407</v>
      </c>
      <c r="G37" s="41">
        <v>0</v>
      </c>
      <c r="H37" s="41">
        <v>0</v>
      </c>
      <c r="I37" s="41">
        <v>773110</v>
      </c>
      <c r="J37" s="41">
        <v>78989</v>
      </c>
      <c r="K37" s="41">
        <v>191615</v>
      </c>
      <c r="L37" s="41">
        <v>0</v>
      </c>
      <c r="M37" s="42">
        <v>0.15</v>
      </c>
      <c r="N37" s="41">
        <v>235964</v>
      </c>
      <c r="O37" s="43">
        <v>7.5999999999999998E-2</v>
      </c>
      <c r="P37" s="41">
        <v>119555</v>
      </c>
      <c r="Q37" s="42">
        <v>0.08</v>
      </c>
      <c r="R37" s="41">
        <v>125847.28</v>
      </c>
      <c r="S37" s="41">
        <v>98680.087400000004</v>
      </c>
      <c r="T37" s="42"/>
      <c r="U37" s="41">
        <v>0</v>
      </c>
      <c r="V37" s="44">
        <v>2485151.3673999999</v>
      </c>
      <c r="W37" s="25"/>
      <c r="X37" s="46"/>
    </row>
    <row r="38" spans="2:24" ht="18.75" customHeight="1" x14ac:dyDescent="0.25">
      <c r="B38"/>
      <c r="C38"/>
      <c r="O38"/>
      <c r="W38" s="25"/>
      <c r="X38" s="46"/>
    </row>
    <row r="39" spans="2:24" ht="18.75" customHeight="1" x14ac:dyDescent="0.25">
      <c r="B39" s="51" t="s">
        <v>512</v>
      </c>
      <c r="C39" s="5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46"/>
    </row>
    <row r="40" spans="2:24" ht="18.75" customHeight="1" x14ac:dyDescent="0.25">
      <c r="B40" s="45" t="s">
        <v>510</v>
      </c>
      <c r="C40" s="45"/>
      <c r="D40" s="41">
        <v>935214</v>
      </c>
      <c r="E40" s="41">
        <v>122045</v>
      </c>
      <c r="F40" s="41">
        <v>0</v>
      </c>
      <c r="G40" s="41">
        <v>374086</v>
      </c>
      <c r="H40" s="41">
        <v>0</v>
      </c>
      <c r="I40" s="41">
        <v>1150759</v>
      </c>
      <c r="J40" s="41">
        <v>98578</v>
      </c>
      <c r="K40" s="41">
        <v>239073</v>
      </c>
      <c r="L40" s="41">
        <v>0</v>
      </c>
      <c r="M40" s="42">
        <v>0.15</v>
      </c>
      <c r="N40" s="41">
        <v>369009</v>
      </c>
      <c r="O40" s="43">
        <v>7.5999999999999998E-2</v>
      </c>
      <c r="P40" s="41">
        <v>186964</v>
      </c>
      <c r="Q40" s="42">
        <v>0.08</v>
      </c>
      <c r="R40" s="41">
        <v>196804.72</v>
      </c>
      <c r="S40" s="41">
        <v>0</v>
      </c>
      <c r="T40" s="42"/>
      <c r="U40" s="41">
        <v>0</v>
      </c>
      <c r="V40" s="44">
        <v>3672532.7199999997</v>
      </c>
      <c r="W40" s="25"/>
      <c r="X40" s="46"/>
    </row>
    <row r="41" spans="2:24" ht="18.75" customHeight="1" x14ac:dyDescent="0.25">
      <c r="B41" s="45">
        <v>2</v>
      </c>
      <c r="C41" s="45"/>
      <c r="D41" s="41">
        <v>916867</v>
      </c>
      <c r="E41" s="41">
        <v>119651</v>
      </c>
      <c r="F41" s="41">
        <v>0</v>
      </c>
      <c r="G41" s="41">
        <v>366747</v>
      </c>
      <c r="H41" s="41">
        <v>0</v>
      </c>
      <c r="I41" s="41">
        <v>1138960</v>
      </c>
      <c r="J41" s="41">
        <v>96632</v>
      </c>
      <c r="K41" s="41">
        <v>234380</v>
      </c>
      <c r="L41" s="41">
        <v>0</v>
      </c>
      <c r="M41" s="42">
        <v>0.15</v>
      </c>
      <c r="N41" s="41">
        <v>363386</v>
      </c>
      <c r="O41" s="43">
        <v>7.5999999999999998E-2</v>
      </c>
      <c r="P41" s="41">
        <v>184116</v>
      </c>
      <c r="Q41" s="42">
        <v>0.08</v>
      </c>
      <c r="R41" s="41">
        <v>193805.92</v>
      </c>
      <c r="S41" s="41">
        <v>0</v>
      </c>
      <c r="T41" s="42"/>
      <c r="U41" s="41">
        <v>0</v>
      </c>
      <c r="V41" s="44">
        <v>3614544.92</v>
      </c>
      <c r="W41" s="25"/>
      <c r="X41" s="46"/>
    </row>
    <row r="42" spans="2:24" ht="18.75" customHeight="1" x14ac:dyDescent="0.25">
      <c r="B42" s="45">
        <v>3</v>
      </c>
      <c r="C42" s="45"/>
      <c r="D42" s="41">
        <v>876957</v>
      </c>
      <c r="E42" s="41">
        <v>114443</v>
      </c>
      <c r="F42" s="41">
        <v>0</v>
      </c>
      <c r="G42" s="41">
        <v>350783</v>
      </c>
      <c r="H42" s="41">
        <v>0</v>
      </c>
      <c r="I42" s="41">
        <v>1142830</v>
      </c>
      <c r="J42" s="41">
        <v>92450</v>
      </c>
      <c r="K42" s="41">
        <v>224195</v>
      </c>
      <c r="L42" s="41">
        <v>0</v>
      </c>
      <c r="M42" s="42">
        <v>0.15</v>
      </c>
      <c r="N42" s="41">
        <v>355586</v>
      </c>
      <c r="O42" s="43">
        <v>7.5999999999999998E-2</v>
      </c>
      <c r="P42" s="41">
        <v>180163</v>
      </c>
      <c r="Q42" s="42">
        <v>0.08</v>
      </c>
      <c r="R42" s="41">
        <v>189645.6</v>
      </c>
      <c r="S42" s="41">
        <v>0</v>
      </c>
      <c r="T42" s="42"/>
      <c r="U42" s="41">
        <v>0</v>
      </c>
      <c r="V42" s="44">
        <v>3527052.6</v>
      </c>
      <c r="W42" s="25"/>
      <c r="X42" s="46"/>
    </row>
    <row r="43" spans="2:24" ht="18.75" customHeight="1" x14ac:dyDescent="0.25">
      <c r="B43" s="45">
        <v>4</v>
      </c>
      <c r="C43" s="45"/>
      <c r="D43" s="41">
        <v>827340</v>
      </c>
      <c r="E43" s="41">
        <v>107968</v>
      </c>
      <c r="F43" s="41">
        <v>0</v>
      </c>
      <c r="G43" s="41">
        <v>330936</v>
      </c>
      <c r="H43" s="41">
        <v>0</v>
      </c>
      <c r="I43" s="41">
        <v>1131075</v>
      </c>
      <c r="J43" s="41">
        <v>87185</v>
      </c>
      <c r="K43" s="41">
        <v>211482</v>
      </c>
      <c r="L43" s="41">
        <v>0</v>
      </c>
      <c r="M43" s="42">
        <v>0.15</v>
      </c>
      <c r="N43" s="41">
        <v>343403</v>
      </c>
      <c r="O43" s="43">
        <v>7.5999999999999998E-2</v>
      </c>
      <c r="P43" s="41">
        <v>173991</v>
      </c>
      <c r="Q43" s="42">
        <v>0.08</v>
      </c>
      <c r="R43" s="41">
        <v>183148.08000000002</v>
      </c>
      <c r="S43" s="41">
        <v>143611.12640000001</v>
      </c>
      <c r="T43" s="42"/>
      <c r="U43" s="41">
        <v>0</v>
      </c>
      <c r="V43" s="44">
        <v>3540139.2064</v>
      </c>
      <c r="W43" s="25"/>
      <c r="X43" s="46"/>
    </row>
    <row r="44" spans="2:24" ht="18.75" customHeight="1" x14ac:dyDescent="0.25">
      <c r="B44" s="45">
        <v>5</v>
      </c>
      <c r="C44" s="45"/>
      <c r="D44" s="41">
        <v>795230</v>
      </c>
      <c r="E44" s="41">
        <v>103778</v>
      </c>
      <c r="F44" s="41">
        <v>0</v>
      </c>
      <c r="G44" s="41">
        <v>0</v>
      </c>
      <c r="H44" s="41">
        <v>0</v>
      </c>
      <c r="I44" s="41">
        <v>1140504</v>
      </c>
      <c r="J44" s="41">
        <v>80217</v>
      </c>
      <c r="K44" s="41">
        <v>194574</v>
      </c>
      <c r="L44" s="41">
        <v>0</v>
      </c>
      <c r="M44" s="42">
        <v>0.15</v>
      </c>
      <c r="N44" s="41">
        <v>290360</v>
      </c>
      <c r="O44" s="43">
        <v>7.5999999999999998E-2</v>
      </c>
      <c r="P44" s="41">
        <v>147116</v>
      </c>
      <c r="Q44" s="42">
        <v>0.08</v>
      </c>
      <c r="R44" s="41">
        <v>154858.72</v>
      </c>
      <c r="S44" s="41">
        <v>121428.61759999998</v>
      </c>
      <c r="T44" s="42"/>
      <c r="U44" s="41">
        <v>0</v>
      </c>
      <c r="V44" s="44">
        <v>3028066.3376000002</v>
      </c>
      <c r="W44" s="25"/>
      <c r="X44" s="46"/>
    </row>
    <row r="45" spans="2:24" ht="18.75" customHeight="1" x14ac:dyDescent="0.25">
      <c r="B45" s="45">
        <v>6</v>
      </c>
      <c r="C45" s="45"/>
      <c r="D45" s="41">
        <v>750159</v>
      </c>
      <c r="E45" s="41">
        <v>97896</v>
      </c>
      <c r="F45" s="41">
        <v>0</v>
      </c>
      <c r="G45" s="41">
        <v>0</v>
      </c>
      <c r="H45" s="41">
        <v>0</v>
      </c>
      <c r="I45" s="41">
        <v>1062921</v>
      </c>
      <c r="J45" s="41">
        <v>75666</v>
      </c>
      <c r="K45" s="41">
        <v>183548</v>
      </c>
      <c r="L45" s="41">
        <v>0</v>
      </c>
      <c r="M45" s="42">
        <v>0.15</v>
      </c>
      <c r="N45" s="41">
        <v>271962</v>
      </c>
      <c r="O45" s="43">
        <v>7.5999999999999998E-2</v>
      </c>
      <c r="P45" s="41">
        <v>137794</v>
      </c>
      <c r="Q45" s="42">
        <v>0.08</v>
      </c>
      <c r="R45" s="41">
        <v>145046.39999999999</v>
      </c>
      <c r="S45" s="41">
        <v>113734.492</v>
      </c>
      <c r="T45" s="42"/>
      <c r="U45" s="41">
        <v>0</v>
      </c>
      <c r="V45" s="44">
        <v>2838726.892</v>
      </c>
      <c r="W45" s="25"/>
      <c r="X45" s="46"/>
    </row>
    <row r="46" spans="2:24" ht="18.75" customHeight="1" x14ac:dyDescent="0.25">
      <c r="B46" s="45">
        <v>7</v>
      </c>
      <c r="C46" s="45"/>
      <c r="D46" s="41">
        <v>691460</v>
      </c>
      <c r="E46" s="41">
        <v>90236</v>
      </c>
      <c r="F46" s="41">
        <v>0</v>
      </c>
      <c r="G46" s="41">
        <v>0</v>
      </c>
      <c r="H46" s="41">
        <v>0</v>
      </c>
      <c r="I46" s="41">
        <v>983499</v>
      </c>
      <c r="J46" s="41">
        <v>69742</v>
      </c>
      <c r="K46" s="41">
        <v>169184</v>
      </c>
      <c r="L46" s="41">
        <v>0</v>
      </c>
      <c r="M46" s="42">
        <v>0.15</v>
      </c>
      <c r="N46" s="41">
        <v>251244</v>
      </c>
      <c r="O46" s="43">
        <v>7.5999999999999998E-2</v>
      </c>
      <c r="P46" s="41">
        <v>127297</v>
      </c>
      <c r="Q46" s="42">
        <v>0.08</v>
      </c>
      <c r="R46" s="41">
        <v>133996.72</v>
      </c>
      <c r="S46" s="41">
        <v>105070.23259999999</v>
      </c>
      <c r="T46" s="42"/>
      <c r="U46" s="41">
        <v>0</v>
      </c>
      <c r="V46" s="44">
        <v>2621728.9526</v>
      </c>
      <c r="W46" s="25"/>
      <c r="X46" s="46"/>
    </row>
    <row r="47" spans="2:24" ht="18.75" customHeight="1" x14ac:dyDescent="0.25">
      <c r="B47" s="45">
        <v>8</v>
      </c>
      <c r="C47" s="45"/>
      <c r="D47" s="41">
        <v>640191</v>
      </c>
      <c r="E47" s="41">
        <v>83545</v>
      </c>
      <c r="F47" s="41">
        <v>0</v>
      </c>
      <c r="G47" s="41">
        <v>0</v>
      </c>
      <c r="H47" s="41">
        <v>0</v>
      </c>
      <c r="I47" s="41">
        <v>914036</v>
      </c>
      <c r="J47" s="41">
        <v>64576</v>
      </c>
      <c r="K47" s="41">
        <v>156652</v>
      </c>
      <c r="L47" s="41">
        <v>0</v>
      </c>
      <c r="M47" s="42">
        <v>0.15</v>
      </c>
      <c r="N47" s="41">
        <v>233134</v>
      </c>
      <c r="O47" s="43">
        <v>7.5999999999999998E-2</v>
      </c>
      <c r="P47" s="41">
        <v>118121</v>
      </c>
      <c r="Q47" s="42">
        <v>0.08</v>
      </c>
      <c r="R47" s="41">
        <v>124338.16</v>
      </c>
      <c r="S47" s="41">
        <v>97496.597800000003</v>
      </c>
      <c r="T47" s="42"/>
      <c r="U47" s="41">
        <v>0</v>
      </c>
      <c r="V47" s="44">
        <v>2432089.7577999998</v>
      </c>
      <c r="W47" s="25"/>
      <c r="X47" s="46"/>
    </row>
    <row r="48" spans="2:24" ht="18.75" customHeight="1" x14ac:dyDescent="0.25">
      <c r="B48" s="45">
        <v>9</v>
      </c>
      <c r="C48" s="45"/>
      <c r="D48" s="41">
        <v>592709</v>
      </c>
      <c r="E48" s="41">
        <v>77349</v>
      </c>
      <c r="F48" s="41">
        <v>0</v>
      </c>
      <c r="G48" s="41">
        <v>0</v>
      </c>
      <c r="H48" s="41">
        <v>0</v>
      </c>
      <c r="I48" s="41">
        <v>851890</v>
      </c>
      <c r="J48" s="41">
        <v>49079</v>
      </c>
      <c r="K48" s="41">
        <v>119051</v>
      </c>
      <c r="L48" s="41">
        <v>0</v>
      </c>
      <c r="M48" s="42">
        <v>0.15</v>
      </c>
      <c r="N48" s="41">
        <v>216690</v>
      </c>
      <c r="O48" s="43">
        <v>7.5999999999999998E-2</v>
      </c>
      <c r="P48" s="41">
        <v>109790</v>
      </c>
      <c r="Q48" s="42">
        <v>0.08</v>
      </c>
      <c r="R48" s="41">
        <v>115567.92</v>
      </c>
      <c r="S48" s="41">
        <v>90619.823599999989</v>
      </c>
      <c r="T48" s="42"/>
      <c r="U48" s="41">
        <v>0</v>
      </c>
      <c r="V48" s="44">
        <v>2222745.7435999997</v>
      </c>
      <c r="W48" s="25"/>
      <c r="X48" s="46"/>
    </row>
    <row r="49" spans="2:24" ht="18.75" customHeight="1" x14ac:dyDescent="0.25">
      <c r="B49" s="45">
        <v>10</v>
      </c>
      <c r="C49" s="45"/>
      <c r="D49" s="41">
        <v>548845</v>
      </c>
      <c r="E49" s="41">
        <v>71624</v>
      </c>
      <c r="F49" s="41">
        <v>0</v>
      </c>
      <c r="G49" s="41">
        <v>0</v>
      </c>
      <c r="H49" s="41">
        <v>0</v>
      </c>
      <c r="I49" s="41">
        <v>776133</v>
      </c>
      <c r="J49" s="41">
        <v>45441</v>
      </c>
      <c r="K49" s="41">
        <v>110235</v>
      </c>
      <c r="L49" s="41">
        <v>0</v>
      </c>
      <c r="M49" s="42">
        <v>0.15</v>
      </c>
      <c r="N49" s="41">
        <v>198747</v>
      </c>
      <c r="O49" s="43">
        <v>7.5999999999999998E-2</v>
      </c>
      <c r="P49" s="41">
        <v>100698</v>
      </c>
      <c r="Q49" s="42">
        <v>0.08</v>
      </c>
      <c r="R49" s="41">
        <v>105998.24</v>
      </c>
      <c r="S49" s="41">
        <v>83115.864199999996</v>
      </c>
      <c r="T49" s="42"/>
      <c r="U49" s="41">
        <v>0</v>
      </c>
      <c r="V49" s="44">
        <v>2040837.1041999999</v>
      </c>
      <c r="W49" s="25"/>
      <c r="X49" s="46"/>
    </row>
    <row r="50" spans="2:24" ht="18.75" customHeight="1" x14ac:dyDescent="0.25">
      <c r="B50" s="45">
        <v>11</v>
      </c>
      <c r="C50" s="45"/>
      <c r="D50" s="41">
        <v>508223</v>
      </c>
      <c r="E50" s="41">
        <v>66323</v>
      </c>
      <c r="F50" s="41">
        <v>0</v>
      </c>
      <c r="G50" s="41">
        <v>0</v>
      </c>
      <c r="H50" s="41">
        <v>0</v>
      </c>
      <c r="I50" s="41">
        <v>708939</v>
      </c>
      <c r="J50" s="41">
        <v>42094</v>
      </c>
      <c r="K50" s="41">
        <v>102096</v>
      </c>
      <c r="L50" s="41">
        <v>0</v>
      </c>
      <c r="M50" s="42">
        <v>0.15</v>
      </c>
      <c r="N50" s="41">
        <v>182574</v>
      </c>
      <c r="O50" s="43">
        <v>7.5999999999999998E-2</v>
      </c>
      <c r="P50" s="41">
        <v>92504</v>
      </c>
      <c r="Q50" s="42">
        <v>0.08</v>
      </c>
      <c r="R50" s="41">
        <v>97372.96</v>
      </c>
      <c r="S50" s="41">
        <v>76352.446800000005</v>
      </c>
      <c r="T50" s="42"/>
      <c r="U50" s="41">
        <v>0</v>
      </c>
      <c r="V50" s="44">
        <v>1876478.4068</v>
      </c>
      <c r="W50" s="25"/>
      <c r="X50" s="46"/>
    </row>
    <row r="51" spans="2:24" ht="18.75" customHeight="1" x14ac:dyDescent="0.25">
      <c r="B51" s="45">
        <v>12</v>
      </c>
      <c r="C51" s="45"/>
      <c r="D51" s="41">
        <v>470574</v>
      </c>
      <c r="E51" s="41">
        <v>61410</v>
      </c>
      <c r="F51" s="41">
        <v>0</v>
      </c>
      <c r="G51" s="41">
        <v>0</v>
      </c>
      <c r="H51" s="41">
        <v>0</v>
      </c>
      <c r="I51" s="41">
        <v>638539</v>
      </c>
      <c r="J51" s="41">
        <v>40460</v>
      </c>
      <c r="K51" s="41">
        <v>100687</v>
      </c>
      <c r="L51" s="41">
        <v>0</v>
      </c>
      <c r="M51" s="42">
        <v>0.15</v>
      </c>
      <c r="N51" s="41">
        <v>166367</v>
      </c>
      <c r="O51" s="43">
        <v>7.5999999999999998E-2</v>
      </c>
      <c r="P51" s="41">
        <v>84293</v>
      </c>
      <c r="Q51" s="42">
        <v>0.08</v>
      </c>
      <c r="R51" s="41">
        <v>88729.040000000008</v>
      </c>
      <c r="S51" s="41">
        <v>69574.753200000006</v>
      </c>
      <c r="T51" s="42"/>
      <c r="U51" s="41">
        <v>0</v>
      </c>
      <c r="V51" s="44">
        <v>1720633.7932</v>
      </c>
      <c r="W51" s="25"/>
      <c r="X51" s="46"/>
    </row>
    <row r="52" spans="2:24" ht="18.75" customHeight="1" x14ac:dyDescent="0.25">
      <c r="B52" s="45">
        <v>13</v>
      </c>
      <c r="C52" s="45"/>
      <c r="D52" s="41">
        <v>435703</v>
      </c>
      <c r="E52" s="41">
        <v>56859</v>
      </c>
      <c r="F52" s="41">
        <v>0</v>
      </c>
      <c r="G52" s="41">
        <v>0</v>
      </c>
      <c r="H52" s="41">
        <v>0</v>
      </c>
      <c r="I52" s="41">
        <v>606324</v>
      </c>
      <c r="J52" s="41">
        <v>37580</v>
      </c>
      <c r="K52" s="41">
        <v>93692</v>
      </c>
      <c r="L52" s="41">
        <v>0</v>
      </c>
      <c r="M52" s="42">
        <v>0.15</v>
      </c>
      <c r="N52" s="41">
        <v>156304</v>
      </c>
      <c r="O52" s="43">
        <v>7.5999999999999998E-2</v>
      </c>
      <c r="P52" s="41">
        <v>79194</v>
      </c>
      <c r="Q52" s="42">
        <v>0.08</v>
      </c>
      <c r="R52" s="41">
        <v>83362.16</v>
      </c>
      <c r="S52" s="41">
        <v>65366.332800000004</v>
      </c>
      <c r="T52" s="42"/>
      <c r="U52" s="41">
        <v>0</v>
      </c>
      <c r="V52" s="44">
        <v>1614384.4928000001</v>
      </c>
      <c r="W52" s="25"/>
      <c r="X52" s="46"/>
    </row>
    <row r="53" spans="2:24" ht="18.75" customHeight="1" x14ac:dyDescent="0.25">
      <c r="B53" s="45">
        <v>14</v>
      </c>
      <c r="C53" s="45"/>
      <c r="D53" s="41">
        <v>403364</v>
      </c>
      <c r="E53" s="41">
        <v>52639</v>
      </c>
      <c r="F53" s="41">
        <v>0</v>
      </c>
      <c r="G53" s="41">
        <v>0</v>
      </c>
      <c r="H53" s="41">
        <v>0</v>
      </c>
      <c r="I53" s="41">
        <v>579725</v>
      </c>
      <c r="J53" s="41">
        <v>35871</v>
      </c>
      <c r="K53" s="41">
        <v>89587</v>
      </c>
      <c r="L53" s="41">
        <v>0</v>
      </c>
      <c r="M53" s="42">
        <v>0.15</v>
      </c>
      <c r="N53" s="41">
        <v>147463</v>
      </c>
      <c r="O53" s="43">
        <v>7.5999999999999998E-2</v>
      </c>
      <c r="P53" s="41">
        <v>74715</v>
      </c>
      <c r="Q53" s="42">
        <v>0.08</v>
      </c>
      <c r="R53" s="41">
        <v>78647.12</v>
      </c>
      <c r="S53" s="41">
        <v>61669.149599999997</v>
      </c>
      <c r="T53" s="42"/>
      <c r="U53" s="41">
        <v>0</v>
      </c>
      <c r="V53" s="44">
        <v>1523680.2696</v>
      </c>
      <c r="W53" s="25"/>
      <c r="X53" s="46"/>
    </row>
    <row r="54" spans="2:24" ht="18.75" customHeight="1" x14ac:dyDescent="0.25">
      <c r="B54" s="45">
        <v>15</v>
      </c>
      <c r="C54" s="45"/>
      <c r="D54" s="41">
        <v>373512</v>
      </c>
      <c r="E54" s="41">
        <v>48743</v>
      </c>
      <c r="F54" s="41">
        <v>0</v>
      </c>
      <c r="G54" s="41">
        <v>0</v>
      </c>
      <c r="H54" s="41">
        <v>0</v>
      </c>
      <c r="I54" s="41">
        <v>543287</v>
      </c>
      <c r="J54" s="41">
        <v>33394</v>
      </c>
      <c r="K54" s="41">
        <v>83570</v>
      </c>
      <c r="L54" s="41">
        <v>0</v>
      </c>
      <c r="M54" s="42">
        <v>0.15</v>
      </c>
      <c r="N54" s="41">
        <v>137520</v>
      </c>
      <c r="O54" s="43">
        <v>7.5999999999999998E-2</v>
      </c>
      <c r="P54" s="41">
        <v>69677</v>
      </c>
      <c r="Q54" s="42">
        <v>0.08</v>
      </c>
      <c r="R54" s="41">
        <v>73343.92</v>
      </c>
      <c r="S54" s="41">
        <v>57510.888599999991</v>
      </c>
      <c r="T54" s="42"/>
      <c r="U54" s="41">
        <v>0</v>
      </c>
      <c r="V54" s="44">
        <v>1420557.8086000001</v>
      </c>
      <c r="W54" s="25"/>
      <c r="X54" s="46"/>
    </row>
    <row r="55" spans="2:24" ht="18.75" customHeight="1" x14ac:dyDescent="0.25">
      <c r="B55" s="45">
        <v>16</v>
      </c>
      <c r="C55" s="45"/>
      <c r="D55" s="41">
        <v>345775</v>
      </c>
      <c r="E55" s="41">
        <v>45124</v>
      </c>
      <c r="F55" s="41">
        <v>0</v>
      </c>
      <c r="G55" s="41">
        <v>0</v>
      </c>
      <c r="H55" s="41">
        <v>0</v>
      </c>
      <c r="I55" s="41">
        <v>506547</v>
      </c>
      <c r="J55" s="41">
        <v>30906</v>
      </c>
      <c r="K55" s="41">
        <v>77466</v>
      </c>
      <c r="L55" s="41">
        <v>0</v>
      </c>
      <c r="M55" s="42">
        <v>0.15</v>
      </c>
      <c r="N55" s="41">
        <v>127848</v>
      </c>
      <c r="O55" s="43">
        <v>7.5999999999999998E-2</v>
      </c>
      <c r="P55" s="41">
        <v>64776</v>
      </c>
      <c r="Q55" s="42">
        <v>0.08</v>
      </c>
      <c r="R55" s="41">
        <v>68185.759999999995</v>
      </c>
      <c r="S55" s="41">
        <v>53466.000800000002</v>
      </c>
      <c r="T55" s="42"/>
      <c r="U55" s="41">
        <v>0</v>
      </c>
      <c r="V55" s="44">
        <v>1320093.7608</v>
      </c>
      <c r="W55" s="25"/>
      <c r="X55" s="46"/>
    </row>
    <row r="56" spans="2:24" ht="18.75" customHeight="1" x14ac:dyDescent="0.25">
      <c r="B56" s="45">
        <v>17</v>
      </c>
      <c r="C56" s="45"/>
      <c r="D56" s="41">
        <v>320172</v>
      </c>
      <c r="E56" s="41">
        <v>41782</v>
      </c>
      <c r="F56" s="41">
        <v>0</v>
      </c>
      <c r="G56" s="41">
        <v>0</v>
      </c>
      <c r="H56" s="41">
        <v>0</v>
      </c>
      <c r="I56" s="41">
        <v>475573</v>
      </c>
      <c r="J56" s="41">
        <v>28770</v>
      </c>
      <c r="K56" s="41">
        <v>72312</v>
      </c>
      <c r="L56" s="41">
        <v>0</v>
      </c>
      <c r="M56" s="42">
        <v>0.15</v>
      </c>
      <c r="N56" s="41">
        <v>119362</v>
      </c>
      <c r="O56" s="43">
        <v>7.5999999999999998E-2</v>
      </c>
      <c r="P56" s="41">
        <v>60477</v>
      </c>
      <c r="Q56" s="42">
        <v>0.08</v>
      </c>
      <c r="R56" s="41">
        <v>63659.6</v>
      </c>
      <c r="S56" s="41">
        <v>49917.212999999996</v>
      </c>
      <c r="T56" s="42"/>
      <c r="U56" s="41">
        <v>0</v>
      </c>
      <c r="V56" s="44">
        <v>1232024.8130000001</v>
      </c>
      <c r="W56" s="25"/>
      <c r="X56" s="46"/>
    </row>
    <row r="57" spans="2:24" ht="18.75" customHeight="1" x14ac:dyDescent="0.25">
      <c r="B57" s="45">
        <v>18</v>
      </c>
      <c r="C57" s="45"/>
      <c r="D57" s="41">
        <v>296465</v>
      </c>
      <c r="E57" s="41">
        <v>38689</v>
      </c>
      <c r="F57" s="41">
        <v>0</v>
      </c>
      <c r="G57" s="41">
        <v>0</v>
      </c>
      <c r="H57" s="41">
        <v>0</v>
      </c>
      <c r="I57" s="41">
        <v>447019</v>
      </c>
      <c r="J57" s="41">
        <v>26776</v>
      </c>
      <c r="K57" s="41">
        <v>67538</v>
      </c>
      <c r="L57" s="41">
        <v>0</v>
      </c>
      <c r="M57" s="42">
        <v>0.15</v>
      </c>
      <c r="N57" s="41">
        <v>111523</v>
      </c>
      <c r="O57" s="43">
        <v>7.5999999999999998E-2</v>
      </c>
      <c r="P57" s="41">
        <v>56505</v>
      </c>
      <c r="Q57" s="42">
        <v>0.08</v>
      </c>
      <c r="R57" s="41">
        <v>59478.720000000001</v>
      </c>
      <c r="S57" s="41">
        <v>46638.8776</v>
      </c>
      <c r="T57" s="42"/>
      <c r="U57" s="41">
        <v>0</v>
      </c>
      <c r="V57" s="44">
        <v>1150632.5976</v>
      </c>
      <c r="W57" s="25"/>
      <c r="X57" s="46"/>
    </row>
    <row r="58" spans="2:24" ht="18.75" customHeight="1" x14ac:dyDescent="0.25">
      <c r="B58"/>
      <c r="C58"/>
      <c r="O58"/>
      <c r="W58" s="25"/>
      <c r="X58" s="46"/>
    </row>
    <row r="59" spans="2:24" ht="18.75" customHeight="1" x14ac:dyDescent="0.25">
      <c r="B59" s="51" t="s">
        <v>513</v>
      </c>
      <c r="C59" s="51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46"/>
    </row>
    <row r="60" spans="2:24" ht="18.75" customHeight="1" x14ac:dyDescent="0.25">
      <c r="B60" s="45">
        <v>4</v>
      </c>
      <c r="C60" s="45"/>
      <c r="D60" s="41">
        <v>827340</v>
      </c>
      <c r="E60" s="41">
        <v>107968</v>
      </c>
      <c r="F60" s="41">
        <v>661868</v>
      </c>
      <c r="G60" s="41">
        <v>0</v>
      </c>
      <c r="H60" s="41">
        <v>0</v>
      </c>
      <c r="I60" s="41">
        <v>1475147</v>
      </c>
      <c r="J60" s="41">
        <v>141699</v>
      </c>
      <c r="K60" s="41">
        <v>303272</v>
      </c>
      <c r="L60" s="41">
        <v>0</v>
      </c>
      <c r="M60" s="42">
        <v>0.15</v>
      </c>
      <c r="N60" s="41">
        <v>444653</v>
      </c>
      <c r="O60" s="43">
        <v>7.5999999999999998E-2</v>
      </c>
      <c r="P60" s="41">
        <v>225291</v>
      </c>
      <c r="Q60" s="42">
        <v>0.08</v>
      </c>
      <c r="R60" s="41">
        <v>237148.4</v>
      </c>
      <c r="S60" s="41">
        <v>0</v>
      </c>
      <c r="T60" s="42"/>
      <c r="U60" s="41">
        <v>0</v>
      </c>
      <c r="V60" s="44">
        <v>4424386.4000000004</v>
      </c>
      <c r="W60" s="25"/>
      <c r="X60" s="46"/>
    </row>
    <row r="61" spans="2:24" ht="18.75" customHeight="1" x14ac:dyDescent="0.25">
      <c r="B61" s="45">
        <v>5</v>
      </c>
      <c r="C61" s="45"/>
      <c r="D61" s="41">
        <v>795230</v>
      </c>
      <c r="E61" s="41">
        <v>103778</v>
      </c>
      <c r="F61" s="41">
        <v>672140</v>
      </c>
      <c r="G61" s="41">
        <v>0</v>
      </c>
      <c r="H61" s="41">
        <v>0</v>
      </c>
      <c r="I61" s="41">
        <v>1362876</v>
      </c>
      <c r="J61" s="41">
        <v>144851</v>
      </c>
      <c r="K61" s="41">
        <v>326613</v>
      </c>
      <c r="L61" s="41">
        <v>0</v>
      </c>
      <c r="M61" s="42">
        <v>0.15</v>
      </c>
      <c r="N61" s="41">
        <v>424537</v>
      </c>
      <c r="O61" s="43">
        <v>7.5999999999999998E-2</v>
      </c>
      <c r="P61" s="41">
        <v>215099</v>
      </c>
      <c r="Q61" s="42">
        <v>0.08</v>
      </c>
      <c r="R61" s="41">
        <v>226419.68</v>
      </c>
      <c r="S61" s="41">
        <v>0</v>
      </c>
      <c r="T61" s="42"/>
      <c r="U61" s="41">
        <v>0</v>
      </c>
      <c r="V61" s="44">
        <v>4271543.68</v>
      </c>
      <c r="W61" s="25"/>
      <c r="X61" s="46"/>
    </row>
    <row r="62" spans="2:24" ht="18.75" customHeight="1" x14ac:dyDescent="0.25">
      <c r="B62" s="45">
        <v>6</v>
      </c>
      <c r="C62" s="45"/>
      <c r="D62" s="41">
        <v>750159</v>
      </c>
      <c r="E62" s="41">
        <v>97896</v>
      </c>
      <c r="F62" s="41">
        <v>600120</v>
      </c>
      <c r="G62" s="41">
        <v>0</v>
      </c>
      <c r="H62" s="41">
        <v>0</v>
      </c>
      <c r="I62" s="41">
        <v>1274939</v>
      </c>
      <c r="J62" s="41">
        <v>136645</v>
      </c>
      <c r="K62" s="41">
        <v>345241</v>
      </c>
      <c r="L62" s="41">
        <v>0</v>
      </c>
      <c r="M62" s="42">
        <v>0.15</v>
      </c>
      <c r="N62" s="41">
        <v>393783</v>
      </c>
      <c r="O62" s="43">
        <v>7.5999999999999998E-2</v>
      </c>
      <c r="P62" s="41">
        <v>199517</v>
      </c>
      <c r="Q62" s="42">
        <v>0.08</v>
      </c>
      <c r="R62" s="41">
        <v>210017.44</v>
      </c>
      <c r="S62" s="41">
        <v>0</v>
      </c>
      <c r="T62" s="42"/>
      <c r="U62" s="41">
        <v>0</v>
      </c>
      <c r="V62" s="44">
        <v>4008317.44</v>
      </c>
      <c r="W62" s="25"/>
      <c r="X62" s="46"/>
    </row>
    <row r="63" spans="2:24" ht="18.75" customHeight="1" x14ac:dyDescent="0.25">
      <c r="B63" s="45">
        <v>7</v>
      </c>
      <c r="C63" s="45"/>
      <c r="D63" s="41">
        <v>691460</v>
      </c>
      <c r="E63" s="41">
        <v>90236</v>
      </c>
      <c r="F63" s="41">
        <v>547590</v>
      </c>
      <c r="G63" s="41">
        <v>0</v>
      </c>
      <c r="H63" s="41">
        <v>0</v>
      </c>
      <c r="I63" s="41">
        <v>1212270</v>
      </c>
      <c r="J63" s="41">
        <v>116065</v>
      </c>
      <c r="K63" s="41">
        <v>281549</v>
      </c>
      <c r="L63" s="41">
        <v>0</v>
      </c>
      <c r="M63" s="42">
        <v>0.15</v>
      </c>
      <c r="N63" s="41">
        <v>367698</v>
      </c>
      <c r="O63" s="43">
        <v>7.5999999999999998E-2</v>
      </c>
      <c r="P63" s="41">
        <v>186300</v>
      </c>
      <c r="Q63" s="42">
        <v>0.08</v>
      </c>
      <c r="R63" s="41">
        <v>196105.60000000001</v>
      </c>
      <c r="S63" s="41">
        <v>0</v>
      </c>
      <c r="T63" s="42"/>
      <c r="U63" s="41">
        <v>0</v>
      </c>
      <c r="V63" s="44">
        <v>3689273.6</v>
      </c>
      <c r="W63" s="25"/>
      <c r="X63" s="46"/>
    </row>
    <row r="64" spans="2:24" ht="18.75" customHeight="1" x14ac:dyDescent="0.25">
      <c r="B64" s="45">
        <v>8</v>
      </c>
      <c r="C64" s="45"/>
      <c r="D64" s="41">
        <v>640191</v>
      </c>
      <c r="E64" s="41">
        <v>83545</v>
      </c>
      <c r="F64" s="41">
        <v>491125</v>
      </c>
      <c r="G64" s="41">
        <v>0</v>
      </c>
      <c r="H64" s="41">
        <v>0</v>
      </c>
      <c r="I64" s="41">
        <v>1094284</v>
      </c>
      <c r="J64" s="41">
        <v>107451</v>
      </c>
      <c r="K64" s="41">
        <v>260684</v>
      </c>
      <c r="L64" s="41">
        <v>0</v>
      </c>
      <c r="M64" s="42">
        <v>0.15</v>
      </c>
      <c r="N64" s="41">
        <v>333840</v>
      </c>
      <c r="O64" s="43">
        <v>7.5999999999999998E-2</v>
      </c>
      <c r="P64" s="41">
        <v>169146</v>
      </c>
      <c r="Q64" s="42">
        <v>0.08</v>
      </c>
      <c r="R64" s="41">
        <v>178048</v>
      </c>
      <c r="S64" s="41">
        <v>139611.97</v>
      </c>
      <c r="T64" s="42"/>
      <c r="U64" s="41">
        <v>0</v>
      </c>
      <c r="V64" s="44">
        <v>3497925.9699999997</v>
      </c>
      <c r="W64" s="25"/>
      <c r="X64" s="46"/>
    </row>
    <row r="65" spans="2:24" ht="18.75" customHeight="1" x14ac:dyDescent="0.25">
      <c r="B65" s="45">
        <v>9</v>
      </c>
      <c r="C65" s="45"/>
      <c r="D65" s="41">
        <v>592709</v>
      </c>
      <c r="E65" s="41">
        <v>77349</v>
      </c>
      <c r="F65" s="41">
        <v>444448</v>
      </c>
      <c r="G65" s="41">
        <v>0</v>
      </c>
      <c r="H65" s="41">
        <v>0</v>
      </c>
      <c r="I65" s="41">
        <v>1004587</v>
      </c>
      <c r="J65" s="41">
        <v>99509</v>
      </c>
      <c r="K65" s="41">
        <v>241349</v>
      </c>
      <c r="L65" s="41">
        <v>0</v>
      </c>
      <c r="M65" s="42">
        <v>0.15</v>
      </c>
      <c r="N65" s="41">
        <v>306262</v>
      </c>
      <c r="O65" s="43">
        <v>7.5999999999999998E-2</v>
      </c>
      <c r="P65" s="41">
        <v>155173</v>
      </c>
      <c r="Q65" s="42">
        <v>0.08</v>
      </c>
      <c r="R65" s="41">
        <v>163339.51999999999</v>
      </c>
      <c r="S65" s="41">
        <v>128078.7766</v>
      </c>
      <c r="T65" s="42"/>
      <c r="U65" s="41">
        <v>0</v>
      </c>
      <c r="V65" s="44">
        <v>3212804.2966</v>
      </c>
      <c r="W65" s="25"/>
      <c r="X65" s="46"/>
    </row>
    <row r="66" spans="2:24" ht="18.75" customHeight="1" x14ac:dyDescent="0.25">
      <c r="B66" s="45">
        <v>10</v>
      </c>
      <c r="C66" s="45"/>
      <c r="D66" s="41">
        <v>548845</v>
      </c>
      <c r="E66" s="41">
        <v>71624</v>
      </c>
      <c r="F66" s="41">
        <v>402209</v>
      </c>
      <c r="G66" s="41">
        <v>0</v>
      </c>
      <c r="H66" s="41">
        <v>0</v>
      </c>
      <c r="I66" s="41">
        <v>918223</v>
      </c>
      <c r="J66" s="41">
        <v>92131</v>
      </c>
      <c r="K66" s="41">
        <v>223491</v>
      </c>
      <c r="L66" s="41">
        <v>0</v>
      </c>
      <c r="M66" s="42">
        <v>0.15</v>
      </c>
      <c r="N66" s="41">
        <v>280392</v>
      </c>
      <c r="O66" s="43">
        <v>7.5999999999999998E-2</v>
      </c>
      <c r="P66" s="41">
        <v>142065</v>
      </c>
      <c r="Q66" s="42">
        <v>0.08</v>
      </c>
      <c r="R66" s="41">
        <v>149542.16</v>
      </c>
      <c r="S66" s="41">
        <v>117259.8278</v>
      </c>
      <c r="T66" s="42"/>
      <c r="U66" s="41">
        <v>0</v>
      </c>
      <c r="V66" s="44">
        <v>2945781.9878000002</v>
      </c>
      <c r="W66" s="25"/>
      <c r="X66" s="46"/>
    </row>
    <row r="67" spans="2:24" ht="18.75" customHeight="1" x14ac:dyDescent="0.25">
      <c r="B67" s="45">
        <v>11</v>
      </c>
      <c r="C67" s="45"/>
      <c r="D67" s="41">
        <v>508223</v>
      </c>
      <c r="E67" s="41">
        <v>66323</v>
      </c>
      <c r="F67" s="41">
        <v>363998</v>
      </c>
      <c r="G67" s="41">
        <v>0</v>
      </c>
      <c r="H67" s="41">
        <v>0</v>
      </c>
      <c r="I67" s="41">
        <v>843062</v>
      </c>
      <c r="J67" s="41">
        <v>85320</v>
      </c>
      <c r="K67" s="41">
        <v>206954</v>
      </c>
      <c r="L67" s="41">
        <v>0</v>
      </c>
      <c r="M67" s="42">
        <v>0.15</v>
      </c>
      <c r="N67" s="41">
        <v>257292</v>
      </c>
      <c r="O67" s="43">
        <v>7.5999999999999998E-2</v>
      </c>
      <c r="P67" s="41">
        <v>130362</v>
      </c>
      <c r="Q67" s="42">
        <v>0.08</v>
      </c>
      <c r="R67" s="41">
        <v>137222.64000000001</v>
      </c>
      <c r="S67" s="41">
        <v>107599.71119999999</v>
      </c>
      <c r="T67" s="42"/>
      <c r="U67" s="41">
        <v>0</v>
      </c>
      <c r="V67" s="44">
        <v>2706356.3511999999</v>
      </c>
      <c r="W67" s="25"/>
      <c r="X67" s="46"/>
    </row>
    <row r="68" spans="2:24" ht="18.75" customHeight="1" x14ac:dyDescent="0.25">
      <c r="B68" s="45">
        <v>12</v>
      </c>
      <c r="C68" s="45"/>
      <c r="D68" s="41">
        <v>470574</v>
      </c>
      <c r="E68" s="41">
        <v>61410</v>
      </c>
      <c r="F68" s="41">
        <v>329407</v>
      </c>
      <c r="G68" s="41">
        <v>0</v>
      </c>
      <c r="H68" s="41">
        <v>0</v>
      </c>
      <c r="I68" s="41">
        <v>774092</v>
      </c>
      <c r="J68" s="41">
        <v>78989</v>
      </c>
      <c r="K68" s="41">
        <v>191615</v>
      </c>
      <c r="L68" s="41">
        <v>0</v>
      </c>
      <c r="M68" s="42">
        <v>0.15</v>
      </c>
      <c r="N68" s="41">
        <v>236111</v>
      </c>
      <c r="O68" s="43">
        <v>7.5999999999999998E-2</v>
      </c>
      <c r="P68" s="41">
        <v>119630</v>
      </c>
      <c r="Q68" s="42">
        <v>0.08</v>
      </c>
      <c r="R68" s="41">
        <v>125925.84</v>
      </c>
      <c r="S68" s="41">
        <v>98741.702199999985</v>
      </c>
      <c r="T68" s="42"/>
      <c r="U68" s="41">
        <v>0</v>
      </c>
      <c r="V68" s="44">
        <v>2486495.5422</v>
      </c>
      <c r="W68" s="25"/>
      <c r="X68" s="46"/>
    </row>
    <row r="69" spans="2:24" ht="18.75" customHeight="1" x14ac:dyDescent="0.25">
      <c r="B69" s="45">
        <v>13</v>
      </c>
      <c r="C69" s="45"/>
      <c r="D69" s="41">
        <v>435703</v>
      </c>
      <c r="E69" s="41">
        <v>56859</v>
      </c>
      <c r="F69" s="41">
        <v>295846</v>
      </c>
      <c r="G69" s="41">
        <v>0</v>
      </c>
      <c r="H69" s="41">
        <v>0</v>
      </c>
      <c r="I69" s="41">
        <v>717926</v>
      </c>
      <c r="J69" s="41">
        <v>66907</v>
      </c>
      <c r="K69" s="41">
        <v>162287</v>
      </c>
      <c r="L69" s="41">
        <v>0</v>
      </c>
      <c r="M69" s="42">
        <v>0.15</v>
      </c>
      <c r="N69" s="41">
        <v>217421</v>
      </c>
      <c r="O69" s="43">
        <v>7.5999999999999998E-2</v>
      </c>
      <c r="P69" s="41">
        <v>110160</v>
      </c>
      <c r="Q69" s="42">
        <v>0.08</v>
      </c>
      <c r="R69" s="41">
        <v>115958</v>
      </c>
      <c r="S69" s="41">
        <v>90925.494999999995</v>
      </c>
      <c r="T69" s="42"/>
      <c r="U69" s="41">
        <v>0</v>
      </c>
      <c r="V69" s="44">
        <v>2269992.4950000001</v>
      </c>
      <c r="W69" s="25"/>
      <c r="X69" s="46"/>
    </row>
    <row r="70" spans="2:24" ht="18.75" customHeight="1" x14ac:dyDescent="0.25">
      <c r="B70" s="45">
        <v>14</v>
      </c>
      <c r="C70" s="45"/>
      <c r="D70" s="41">
        <v>403364</v>
      </c>
      <c r="E70" s="41">
        <v>52639</v>
      </c>
      <c r="F70" s="41">
        <v>265575</v>
      </c>
      <c r="G70" s="41">
        <v>0</v>
      </c>
      <c r="H70" s="41">
        <v>0</v>
      </c>
      <c r="I70" s="41">
        <v>659233</v>
      </c>
      <c r="J70" s="41">
        <v>61946</v>
      </c>
      <c r="K70" s="41">
        <v>150253</v>
      </c>
      <c r="L70" s="41">
        <v>0</v>
      </c>
      <c r="M70" s="42">
        <v>0.15</v>
      </c>
      <c r="N70" s="41">
        <v>199226</v>
      </c>
      <c r="O70" s="43">
        <v>7.5999999999999998E-2</v>
      </c>
      <c r="P70" s="41">
        <v>100941</v>
      </c>
      <c r="Q70" s="42">
        <v>0.08</v>
      </c>
      <c r="R70" s="41">
        <v>106253.76000000001</v>
      </c>
      <c r="S70" s="41">
        <v>83316.255799999999</v>
      </c>
      <c r="T70" s="42"/>
      <c r="U70" s="41">
        <v>0</v>
      </c>
      <c r="V70" s="44">
        <v>2082747.0157999999</v>
      </c>
      <c r="W70" s="25"/>
      <c r="X70" s="46"/>
    </row>
    <row r="71" spans="2:24" ht="18.75" customHeight="1" x14ac:dyDescent="0.25">
      <c r="B71" s="45">
        <v>15</v>
      </c>
      <c r="C71" s="45"/>
      <c r="D71" s="41">
        <v>373512</v>
      </c>
      <c r="E71" s="41">
        <v>48743</v>
      </c>
      <c r="F71" s="41">
        <v>238389</v>
      </c>
      <c r="G71" s="41">
        <v>0</v>
      </c>
      <c r="H71" s="41">
        <v>0</v>
      </c>
      <c r="I71" s="41">
        <v>605366</v>
      </c>
      <c r="J71" s="41">
        <v>57315</v>
      </c>
      <c r="K71" s="41">
        <v>139128</v>
      </c>
      <c r="L71" s="41">
        <v>0</v>
      </c>
      <c r="M71" s="42">
        <v>0.15</v>
      </c>
      <c r="N71" s="41">
        <v>182590</v>
      </c>
      <c r="O71" s="43">
        <v>7.5999999999999998E-2</v>
      </c>
      <c r="P71" s="41">
        <v>92512</v>
      </c>
      <c r="Q71" s="42">
        <v>0.08</v>
      </c>
      <c r="R71" s="41">
        <v>97381.36</v>
      </c>
      <c r="S71" s="41">
        <v>76359.088799999998</v>
      </c>
      <c r="T71" s="42"/>
      <c r="U71" s="41">
        <v>0</v>
      </c>
      <c r="V71" s="44">
        <v>1911295.4487999999</v>
      </c>
      <c r="W71" s="25"/>
      <c r="X71" s="46"/>
    </row>
    <row r="72" spans="2:24" ht="18.75" customHeight="1" x14ac:dyDescent="0.25">
      <c r="B72" s="45">
        <v>16</v>
      </c>
      <c r="C72" s="45"/>
      <c r="D72" s="41">
        <v>345775</v>
      </c>
      <c r="E72" s="41">
        <v>45124</v>
      </c>
      <c r="F72" s="41">
        <v>213997</v>
      </c>
      <c r="G72" s="41">
        <v>0</v>
      </c>
      <c r="H72" s="41">
        <v>0</v>
      </c>
      <c r="I72" s="41">
        <v>555907</v>
      </c>
      <c r="J72" s="41">
        <v>53087</v>
      </c>
      <c r="K72" s="41">
        <v>128801</v>
      </c>
      <c r="L72" s="41">
        <v>0</v>
      </c>
      <c r="M72" s="42">
        <v>0.15</v>
      </c>
      <c r="N72" s="41">
        <v>167352</v>
      </c>
      <c r="O72" s="43">
        <v>7.5999999999999998E-2</v>
      </c>
      <c r="P72" s="41">
        <v>84792</v>
      </c>
      <c r="Q72" s="42">
        <v>0.08</v>
      </c>
      <c r="R72" s="41">
        <v>89254.32</v>
      </c>
      <c r="S72" s="41">
        <v>69986.655599999998</v>
      </c>
      <c r="T72" s="42"/>
      <c r="U72" s="41">
        <v>0</v>
      </c>
      <c r="V72" s="44">
        <v>1754075.9756</v>
      </c>
      <c r="W72" s="25"/>
      <c r="X72" s="46"/>
    </row>
    <row r="73" spans="2:24" ht="18.75" customHeight="1" x14ac:dyDescent="0.25">
      <c r="B73" s="45">
        <v>17</v>
      </c>
      <c r="C73" s="45"/>
      <c r="D73" s="41">
        <v>320172</v>
      </c>
      <c r="E73" s="41">
        <v>41782</v>
      </c>
      <c r="F73" s="41">
        <v>192103</v>
      </c>
      <c r="G73" s="41">
        <v>0</v>
      </c>
      <c r="H73" s="41">
        <v>0</v>
      </c>
      <c r="I73" s="41">
        <v>510515</v>
      </c>
      <c r="J73" s="41">
        <v>49171</v>
      </c>
      <c r="K73" s="41">
        <v>119268</v>
      </c>
      <c r="L73" s="41">
        <v>0</v>
      </c>
      <c r="M73" s="42">
        <v>0.15</v>
      </c>
      <c r="N73" s="41">
        <v>153419</v>
      </c>
      <c r="O73" s="43">
        <v>7.5999999999999998E-2</v>
      </c>
      <c r="P73" s="41">
        <v>77732</v>
      </c>
      <c r="Q73" s="42">
        <v>0.08</v>
      </c>
      <c r="R73" s="41">
        <v>81823.199999999997</v>
      </c>
      <c r="S73" s="41">
        <v>64159.710999999996</v>
      </c>
      <c r="T73" s="42"/>
      <c r="U73" s="41">
        <v>0</v>
      </c>
      <c r="V73" s="44">
        <v>1610144.9109999998</v>
      </c>
      <c r="W73" s="25"/>
      <c r="X73" s="46"/>
    </row>
    <row r="74" spans="2:24" ht="18.75" customHeight="1" x14ac:dyDescent="0.25">
      <c r="B74" s="45">
        <v>18</v>
      </c>
      <c r="C74" s="45"/>
      <c r="D74" s="41">
        <v>296465</v>
      </c>
      <c r="E74" s="41">
        <v>38689</v>
      </c>
      <c r="F74" s="41">
        <v>167832</v>
      </c>
      <c r="G74" s="41">
        <v>0</v>
      </c>
      <c r="H74" s="41">
        <v>0</v>
      </c>
      <c r="I74" s="41">
        <v>507873</v>
      </c>
      <c r="J74" s="41">
        <v>32196</v>
      </c>
      <c r="K74" s="41">
        <v>80603</v>
      </c>
      <c r="L74" s="41">
        <v>0</v>
      </c>
      <c r="M74" s="42">
        <v>0.15</v>
      </c>
      <c r="N74" s="41">
        <v>145826</v>
      </c>
      <c r="O74" s="43">
        <v>7.5999999999999998E-2</v>
      </c>
      <c r="P74" s="41">
        <v>73885</v>
      </c>
      <c r="Q74" s="42">
        <v>0.08</v>
      </c>
      <c r="R74" s="41">
        <v>77773.600000000006</v>
      </c>
      <c r="S74" s="41">
        <v>60984.342999999993</v>
      </c>
      <c r="T74" s="42"/>
      <c r="U74" s="41">
        <v>0</v>
      </c>
      <c r="V74" s="44">
        <v>1482126.943</v>
      </c>
      <c r="W74" s="25"/>
      <c r="X74" s="46"/>
    </row>
    <row r="75" spans="2:24" ht="18.75" customHeight="1" x14ac:dyDescent="0.25">
      <c r="B75" s="45">
        <v>19</v>
      </c>
      <c r="C75" s="45"/>
      <c r="D75" s="41">
        <v>277079</v>
      </c>
      <c r="E75" s="41">
        <v>36159</v>
      </c>
      <c r="F75" s="41">
        <v>133198</v>
      </c>
      <c r="G75" s="41">
        <v>0</v>
      </c>
      <c r="H75" s="41">
        <v>0</v>
      </c>
      <c r="I75" s="41">
        <v>476001</v>
      </c>
      <c r="J75" s="41">
        <v>31182</v>
      </c>
      <c r="K75" s="41">
        <v>78148</v>
      </c>
      <c r="L75" s="41">
        <v>0</v>
      </c>
      <c r="M75" s="42">
        <v>0.15</v>
      </c>
      <c r="N75" s="41">
        <v>132942</v>
      </c>
      <c r="O75" s="43">
        <v>7.5999999999999998E-2</v>
      </c>
      <c r="P75" s="41">
        <v>67357</v>
      </c>
      <c r="Q75" s="42">
        <v>0.08</v>
      </c>
      <c r="R75" s="41">
        <v>70902.240000000005</v>
      </c>
      <c r="S75" s="41">
        <v>55596.254199999996</v>
      </c>
      <c r="T75" s="42"/>
      <c r="U75" s="41">
        <v>0</v>
      </c>
      <c r="V75" s="44">
        <v>1358564.4942000001</v>
      </c>
      <c r="W75" s="25"/>
      <c r="X75" s="46"/>
    </row>
    <row r="76" spans="2:24" ht="18.75" customHeight="1" x14ac:dyDescent="0.25">
      <c r="B76" s="45">
        <v>20</v>
      </c>
      <c r="C76" s="45"/>
      <c r="D76" s="41">
        <v>258964</v>
      </c>
      <c r="E76" s="41">
        <v>33795</v>
      </c>
      <c r="F76" s="41">
        <v>105718</v>
      </c>
      <c r="G76" s="41">
        <v>0</v>
      </c>
      <c r="H76" s="41">
        <v>0</v>
      </c>
      <c r="I76" s="41">
        <v>444639</v>
      </c>
      <c r="J76" s="41">
        <v>29291</v>
      </c>
      <c r="K76" s="41">
        <v>73604</v>
      </c>
      <c r="L76" s="41">
        <v>0</v>
      </c>
      <c r="M76" s="42">
        <v>0.15</v>
      </c>
      <c r="N76" s="41">
        <v>121398</v>
      </c>
      <c r="O76" s="43">
        <v>7.5999999999999998E-2</v>
      </c>
      <c r="P76" s="41">
        <v>61508</v>
      </c>
      <c r="Q76" s="42">
        <v>0.08</v>
      </c>
      <c r="R76" s="41">
        <v>64745.68</v>
      </c>
      <c r="S76" s="41">
        <v>50768.594399999994</v>
      </c>
      <c r="T76" s="42"/>
      <c r="U76" s="41">
        <v>0</v>
      </c>
      <c r="V76" s="44">
        <v>1244431.2744</v>
      </c>
      <c r="W76" s="25"/>
      <c r="X76" s="46"/>
    </row>
    <row r="77" spans="2:24" ht="18.75" customHeight="1" x14ac:dyDescent="0.25">
      <c r="B77" s="45">
        <v>21</v>
      </c>
      <c r="C77" s="45"/>
      <c r="D77" s="41">
        <v>241999</v>
      </c>
      <c r="E77" s="41">
        <v>31581</v>
      </c>
      <c r="F77" s="41">
        <v>83904</v>
      </c>
      <c r="G77" s="41">
        <v>0</v>
      </c>
      <c r="H77" s="41">
        <v>0</v>
      </c>
      <c r="I77" s="41">
        <v>415445</v>
      </c>
      <c r="J77" s="41">
        <v>27535</v>
      </c>
      <c r="K77" s="41">
        <v>69306</v>
      </c>
      <c r="L77" s="41">
        <v>0</v>
      </c>
      <c r="M77" s="42">
        <v>0.15</v>
      </c>
      <c r="N77" s="41">
        <v>111202</v>
      </c>
      <c r="O77" s="43">
        <v>7.5999999999999998E-2</v>
      </c>
      <c r="P77" s="41">
        <v>56342</v>
      </c>
      <c r="Q77" s="42">
        <v>0.08</v>
      </c>
      <c r="R77" s="41">
        <v>59307.840000000004</v>
      </c>
      <c r="S77" s="41">
        <v>46504.627199999995</v>
      </c>
      <c r="T77" s="42"/>
      <c r="U77" s="41">
        <v>0</v>
      </c>
      <c r="V77" s="44">
        <v>1143126.4672000001</v>
      </c>
      <c r="W77" s="25"/>
      <c r="X77" s="46"/>
    </row>
    <row r="78" spans="2:24" ht="18.75" customHeight="1" x14ac:dyDescent="0.25">
      <c r="B78" s="45">
        <v>22</v>
      </c>
      <c r="C78" s="45"/>
      <c r="D78" s="41">
        <v>226185</v>
      </c>
      <c r="E78" s="41">
        <v>29517</v>
      </c>
      <c r="F78" s="41">
        <v>66583</v>
      </c>
      <c r="G78" s="41">
        <v>0</v>
      </c>
      <c r="H78" s="41">
        <v>0</v>
      </c>
      <c r="I78" s="41">
        <v>388257</v>
      </c>
      <c r="J78" s="41">
        <v>25989</v>
      </c>
      <c r="K78" s="41">
        <v>65565</v>
      </c>
      <c r="L78" s="41">
        <v>0</v>
      </c>
      <c r="M78" s="42">
        <v>0.15</v>
      </c>
      <c r="N78" s="41">
        <v>102154</v>
      </c>
      <c r="O78" s="43">
        <v>7.5999999999999998E-2</v>
      </c>
      <c r="P78" s="41">
        <v>51758</v>
      </c>
      <c r="Q78" s="42">
        <v>0.08</v>
      </c>
      <c r="R78" s="41">
        <v>54482</v>
      </c>
      <c r="S78" s="41">
        <v>42720.77</v>
      </c>
      <c r="T78" s="42"/>
      <c r="U78" s="41">
        <v>0</v>
      </c>
      <c r="V78" s="44">
        <v>1053210.77</v>
      </c>
      <c r="W78" s="25"/>
      <c r="X78" s="46"/>
    </row>
    <row r="79" spans="2:24" ht="18.75" customHeight="1" x14ac:dyDescent="0.25">
      <c r="B79" s="45">
        <v>23</v>
      </c>
      <c r="C79" s="45"/>
      <c r="D79" s="41">
        <v>211386</v>
      </c>
      <c r="E79" s="41">
        <v>27586</v>
      </c>
      <c r="F79" s="41">
        <v>52848</v>
      </c>
      <c r="G79" s="41">
        <v>0</v>
      </c>
      <c r="H79" s="41">
        <v>0</v>
      </c>
      <c r="I79" s="41">
        <v>362930</v>
      </c>
      <c r="J79" s="41">
        <v>24429</v>
      </c>
      <c r="K79" s="41">
        <v>61842</v>
      </c>
      <c r="L79" s="41">
        <v>0</v>
      </c>
      <c r="M79" s="42">
        <v>0.15</v>
      </c>
      <c r="N79" s="41">
        <v>94075</v>
      </c>
      <c r="O79" s="43">
        <v>7.5999999999999998E-2</v>
      </c>
      <c r="P79" s="41">
        <v>47664</v>
      </c>
      <c r="Q79" s="42">
        <v>0.08</v>
      </c>
      <c r="R79" s="41">
        <v>50173.120000000003</v>
      </c>
      <c r="S79" s="41">
        <v>39341.984599999996</v>
      </c>
      <c r="T79" s="42"/>
      <c r="U79" s="41">
        <v>0</v>
      </c>
      <c r="V79" s="44">
        <v>972275.10459999996</v>
      </c>
      <c r="W79" s="25"/>
      <c r="X79" s="46"/>
    </row>
    <row r="80" spans="2:24" ht="18.75" customHeight="1" x14ac:dyDescent="0.25">
      <c r="B80"/>
      <c r="C80"/>
      <c r="O80"/>
      <c r="W80" s="25"/>
      <c r="X80" s="46"/>
    </row>
    <row r="81" spans="2:24" ht="18.75" customHeight="1" x14ac:dyDescent="0.25">
      <c r="B81" s="51" t="s">
        <v>514</v>
      </c>
      <c r="C81" s="51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46"/>
    </row>
    <row r="82" spans="2:24" ht="18.75" customHeight="1" x14ac:dyDescent="0.25">
      <c r="B82" s="45">
        <v>9</v>
      </c>
      <c r="C82" s="45"/>
      <c r="D82" s="41">
        <v>592709</v>
      </c>
      <c r="E82" s="41">
        <v>77349</v>
      </c>
      <c r="F82" s="41">
        <v>0</v>
      </c>
      <c r="G82" s="41">
        <v>0</v>
      </c>
      <c r="H82" s="41">
        <v>0</v>
      </c>
      <c r="I82" s="41">
        <v>436193</v>
      </c>
      <c r="J82" s="41">
        <v>27250</v>
      </c>
      <c r="K82" s="41">
        <v>66107</v>
      </c>
      <c r="L82" s="41">
        <v>0</v>
      </c>
      <c r="M82" s="42">
        <v>0.15</v>
      </c>
      <c r="N82" s="41">
        <v>154335</v>
      </c>
      <c r="O82" s="43">
        <v>7.5999999999999998E-2</v>
      </c>
      <c r="P82" s="41">
        <v>78197</v>
      </c>
      <c r="Q82" s="42">
        <v>0.08</v>
      </c>
      <c r="R82" s="41">
        <v>82312.160000000003</v>
      </c>
      <c r="S82" s="41">
        <v>64543.052800000005</v>
      </c>
      <c r="T82" s="42"/>
      <c r="U82" s="41">
        <v>0</v>
      </c>
      <c r="V82" s="44">
        <v>1578995.2127999999</v>
      </c>
      <c r="W82" s="25"/>
      <c r="X82" s="46"/>
    </row>
    <row r="83" spans="2:24" ht="18.75" customHeight="1" x14ac:dyDescent="0.25">
      <c r="B83" s="45">
        <v>10</v>
      </c>
      <c r="C83" s="45"/>
      <c r="D83" s="41">
        <v>548845</v>
      </c>
      <c r="E83" s="41">
        <v>71624</v>
      </c>
      <c r="F83" s="41">
        <v>0</v>
      </c>
      <c r="G83" s="41">
        <v>0</v>
      </c>
      <c r="H83" s="41">
        <v>0</v>
      </c>
      <c r="I83" s="41">
        <v>429068</v>
      </c>
      <c r="J83" s="41">
        <v>25620</v>
      </c>
      <c r="K83" s="41">
        <v>62088</v>
      </c>
      <c r="L83" s="41">
        <v>0</v>
      </c>
      <c r="M83" s="42">
        <v>0.15</v>
      </c>
      <c r="N83" s="41">
        <v>146687</v>
      </c>
      <c r="O83" s="43">
        <v>7.5999999999999998E-2</v>
      </c>
      <c r="P83" s="41">
        <v>74321</v>
      </c>
      <c r="Q83" s="42">
        <v>0.08</v>
      </c>
      <c r="R83" s="41">
        <v>78233.040000000008</v>
      </c>
      <c r="S83" s="41">
        <v>61344.413200000003</v>
      </c>
      <c r="T83" s="42"/>
      <c r="U83" s="41">
        <v>0</v>
      </c>
      <c r="V83" s="44">
        <v>1497830.4531999999</v>
      </c>
      <c r="W83" s="25"/>
      <c r="X83" s="46"/>
    </row>
    <row r="84" spans="2:24" ht="18.75" customHeight="1" x14ac:dyDescent="0.25">
      <c r="B84" s="45">
        <v>11</v>
      </c>
      <c r="C84" s="45"/>
      <c r="D84" s="41">
        <v>508223</v>
      </c>
      <c r="E84" s="41">
        <v>66323</v>
      </c>
      <c r="F84" s="41">
        <v>0</v>
      </c>
      <c r="G84" s="41">
        <v>0</v>
      </c>
      <c r="H84" s="41">
        <v>0</v>
      </c>
      <c r="I84" s="41">
        <v>419710</v>
      </c>
      <c r="J84" s="41">
        <v>23671</v>
      </c>
      <c r="K84" s="41">
        <v>57417</v>
      </c>
      <c r="L84" s="41">
        <v>0</v>
      </c>
      <c r="M84" s="42">
        <v>0.15</v>
      </c>
      <c r="N84" s="41">
        <v>139190</v>
      </c>
      <c r="O84" s="43">
        <v>7.5999999999999998E-2</v>
      </c>
      <c r="P84" s="41">
        <v>70523</v>
      </c>
      <c r="Q84" s="42">
        <v>0.08</v>
      </c>
      <c r="R84" s="41">
        <v>74234.64</v>
      </c>
      <c r="S84" s="41">
        <v>58209.266199999998</v>
      </c>
      <c r="T84" s="42"/>
      <c r="U84" s="41">
        <v>0</v>
      </c>
      <c r="V84" s="44">
        <v>1417500.9062000001</v>
      </c>
      <c r="W84" s="25"/>
      <c r="X84" s="46"/>
    </row>
    <row r="85" spans="2:24" ht="18.75" customHeight="1" x14ac:dyDescent="0.25">
      <c r="B85" s="45">
        <v>12</v>
      </c>
      <c r="C85" s="45"/>
      <c r="D85" s="41">
        <v>470574</v>
      </c>
      <c r="E85" s="41">
        <v>61410</v>
      </c>
      <c r="F85" s="41">
        <v>0</v>
      </c>
      <c r="G85" s="41">
        <v>0</v>
      </c>
      <c r="H85" s="41">
        <v>0</v>
      </c>
      <c r="I85" s="41">
        <v>410599</v>
      </c>
      <c r="J85" s="41">
        <v>23422</v>
      </c>
      <c r="K85" s="41">
        <v>59348</v>
      </c>
      <c r="L85" s="41">
        <v>0</v>
      </c>
      <c r="M85" s="42">
        <v>0.15</v>
      </c>
      <c r="N85" s="41">
        <v>132176</v>
      </c>
      <c r="O85" s="43">
        <v>7.5999999999999998E-2</v>
      </c>
      <c r="P85" s="41">
        <v>66969</v>
      </c>
      <c r="Q85" s="42">
        <v>0.08</v>
      </c>
      <c r="R85" s="41">
        <v>70493.84</v>
      </c>
      <c r="S85" s="41">
        <v>55275.962199999987</v>
      </c>
      <c r="T85" s="42"/>
      <c r="U85" s="41">
        <v>0</v>
      </c>
      <c r="V85" s="44">
        <v>1350267.8022</v>
      </c>
      <c r="W85" s="25"/>
      <c r="X85" s="46"/>
    </row>
    <row r="86" spans="2:24" ht="18.75" customHeight="1" x14ac:dyDescent="0.25">
      <c r="B86" s="45">
        <v>13</v>
      </c>
      <c r="C86" s="45"/>
      <c r="D86" s="41">
        <v>435703</v>
      </c>
      <c r="E86" s="41">
        <v>56859</v>
      </c>
      <c r="F86" s="41">
        <v>0</v>
      </c>
      <c r="G86" s="41">
        <v>0</v>
      </c>
      <c r="H86" s="41">
        <v>0</v>
      </c>
      <c r="I86" s="41">
        <v>402593</v>
      </c>
      <c r="J86" s="41">
        <v>21818</v>
      </c>
      <c r="K86" s="41">
        <v>55494</v>
      </c>
      <c r="L86" s="41">
        <v>0</v>
      </c>
      <c r="M86" s="42">
        <v>0.15</v>
      </c>
      <c r="N86" s="41">
        <v>125744</v>
      </c>
      <c r="O86" s="43">
        <v>7.5999999999999998E-2</v>
      </c>
      <c r="P86" s="41">
        <v>63710</v>
      </c>
      <c r="Q86" s="42">
        <v>0.08</v>
      </c>
      <c r="R86" s="41">
        <v>67063.680000000008</v>
      </c>
      <c r="S86" s="41">
        <v>52586.124399999993</v>
      </c>
      <c r="T86" s="42"/>
      <c r="U86" s="41">
        <v>0</v>
      </c>
      <c r="V86" s="44">
        <v>1281570.8044</v>
      </c>
      <c r="W86" s="25"/>
      <c r="X86" s="46"/>
    </row>
    <row r="87" spans="2:24" ht="18.75" customHeight="1" x14ac:dyDescent="0.25">
      <c r="B87" s="45">
        <v>14</v>
      </c>
      <c r="C87" s="45"/>
      <c r="D87" s="41">
        <v>403364</v>
      </c>
      <c r="E87" s="41">
        <v>52639</v>
      </c>
      <c r="F87" s="41">
        <v>0</v>
      </c>
      <c r="G87" s="41">
        <v>0</v>
      </c>
      <c r="H87" s="41">
        <v>0</v>
      </c>
      <c r="I87" s="41">
        <v>394403</v>
      </c>
      <c r="J87" s="41">
        <v>19642</v>
      </c>
      <c r="K87" s="41">
        <v>50223</v>
      </c>
      <c r="L87" s="41">
        <v>0</v>
      </c>
      <c r="M87" s="42">
        <v>0.15</v>
      </c>
      <c r="N87" s="41">
        <v>119665</v>
      </c>
      <c r="O87" s="43">
        <v>7.5999999999999998E-2</v>
      </c>
      <c r="P87" s="41">
        <v>60630</v>
      </c>
      <c r="Q87" s="42">
        <v>0.08</v>
      </c>
      <c r="R87" s="41">
        <v>63821.36</v>
      </c>
      <c r="S87" s="41">
        <v>50043.853799999997</v>
      </c>
      <c r="T87" s="42"/>
      <c r="U87" s="41">
        <v>0</v>
      </c>
      <c r="V87" s="44">
        <v>1214431.2138</v>
      </c>
      <c r="W87" s="25"/>
      <c r="X87" s="46"/>
    </row>
    <row r="88" spans="2:24" ht="18.75" customHeight="1" x14ac:dyDescent="0.25">
      <c r="B88" s="45">
        <v>15</v>
      </c>
      <c r="C88" s="45"/>
      <c r="D88" s="41">
        <v>373512</v>
      </c>
      <c r="E88" s="41">
        <v>48743</v>
      </c>
      <c r="F88" s="41">
        <v>0</v>
      </c>
      <c r="G88" s="41">
        <v>0</v>
      </c>
      <c r="H88" s="41">
        <v>0</v>
      </c>
      <c r="I88" s="41">
        <v>380873</v>
      </c>
      <c r="J88" s="41">
        <v>19880</v>
      </c>
      <c r="K88" s="41">
        <v>50807</v>
      </c>
      <c r="L88" s="41">
        <v>0</v>
      </c>
      <c r="M88" s="42">
        <v>0.15</v>
      </c>
      <c r="N88" s="41">
        <v>113158</v>
      </c>
      <c r="O88" s="43">
        <v>7.5999999999999998E-2</v>
      </c>
      <c r="P88" s="41">
        <v>57333</v>
      </c>
      <c r="Q88" s="42">
        <v>0.08</v>
      </c>
      <c r="R88" s="41">
        <v>60350.8</v>
      </c>
      <c r="S88" s="41">
        <v>47322.568999999996</v>
      </c>
      <c r="T88" s="42"/>
      <c r="U88" s="41">
        <v>0</v>
      </c>
      <c r="V88" s="44">
        <v>1151979.3689999999</v>
      </c>
      <c r="W88" s="25"/>
      <c r="X88" s="46"/>
    </row>
    <row r="89" spans="2:24" ht="18.75" customHeight="1" x14ac:dyDescent="0.25">
      <c r="B89" s="45">
        <v>16</v>
      </c>
      <c r="C89" s="45"/>
      <c r="D89" s="41">
        <v>345775</v>
      </c>
      <c r="E89" s="41">
        <v>45124</v>
      </c>
      <c r="F89" s="41">
        <v>0</v>
      </c>
      <c r="G89" s="41">
        <v>0</v>
      </c>
      <c r="H89" s="41">
        <v>0</v>
      </c>
      <c r="I89" s="41">
        <v>361905</v>
      </c>
      <c r="J89" s="41">
        <v>18388</v>
      </c>
      <c r="K89" s="41">
        <v>47149</v>
      </c>
      <c r="L89" s="41">
        <v>0</v>
      </c>
      <c r="M89" s="42">
        <v>0.15</v>
      </c>
      <c r="N89" s="41">
        <v>106152</v>
      </c>
      <c r="O89" s="43">
        <v>7.5999999999999998E-2</v>
      </c>
      <c r="P89" s="41">
        <v>53784</v>
      </c>
      <c r="Q89" s="42">
        <v>0.08</v>
      </c>
      <c r="R89" s="41">
        <v>56614.400000000001</v>
      </c>
      <c r="S89" s="41">
        <v>44392.831999999995</v>
      </c>
      <c r="T89" s="42"/>
      <c r="U89" s="41">
        <v>0</v>
      </c>
      <c r="V89" s="44">
        <v>1079284.2319999998</v>
      </c>
      <c r="W89" s="25"/>
      <c r="X89" s="46"/>
    </row>
    <row r="90" spans="2:24" ht="18.75" customHeight="1" x14ac:dyDescent="0.25">
      <c r="B90" s="45">
        <v>17</v>
      </c>
      <c r="C90" s="45"/>
      <c r="D90" s="41">
        <v>320172</v>
      </c>
      <c r="E90" s="41">
        <v>41782</v>
      </c>
      <c r="F90" s="41">
        <v>0</v>
      </c>
      <c r="G90" s="41">
        <v>0</v>
      </c>
      <c r="H90" s="41">
        <v>0</v>
      </c>
      <c r="I90" s="41">
        <v>355925</v>
      </c>
      <c r="J90" s="41">
        <v>17142</v>
      </c>
      <c r="K90" s="41">
        <v>44133</v>
      </c>
      <c r="L90" s="41">
        <v>0</v>
      </c>
      <c r="M90" s="42">
        <v>0.15</v>
      </c>
      <c r="N90" s="41">
        <v>101415</v>
      </c>
      <c r="O90" s="43">
        <v>7.5999999999999998E-2</v>
      </c>
      <c r="P90" s="41">
        <v>51383</v>
      </c>
      <c r="Q90" s="42">
        <v>0.08</v>
      </c>
      <c r="R90" s="41">
        <v>54087.76</v>
      </c>
      <c r="S90" s="41">
        <v>42411.580799999996</v>
      </c>
      <c r="T90" s="42"/>
      <c r="U90" s="41">
        <v>0</v>
      </c>
      <c r="V90" s="44">
        <v>1028451.3408</v>
      </c>
      <c r="W90" s="25"/>
      <c r="X90" s="46"/>
    </row>
    <row r="91" spans="2:24" ht="18.75" customHeight="1" x14ac:dyDescent="0.25">
      <c r="B91" s="45">
        <v>18</v>
      </c>
      <c r="C91" s="45"/>
      <c r="D91" s="41">
        <v>296465</v>
      </c>
      <c r="E91" s="41">
        <v>38689</v>
      </c>
      <c r="F91" s="41">
        <v>0</v>
      </c>
      <c r="G91" s="41">
        <v>0</v>
      </c>
      <c r="H91" s="41">
        <v>0</v>
      </c>
      <c r="I91" s="41">
        <v>347482</v>
      </c>
      <c r="J91" s="41">
        <v>17741</v>
      </c>
      <c r="K91" s="41">
        <v>45568</v>
      </c>
      <c r="L91" s="41">
        <v>0</v>
      </c>
      <c r="M91" s="42">
        <v>0.15</v>
      </c>
      <c r="N91" s="41">
        <v>96592</v>
      </c>
      <c r="O91" s="43">
        <v>7.5999999999999998E-2</v>
      </c>
      <c r="P91" s="41">
        <v>48940</v>
      </c>
      <c r="Q91" s="42">
        <v>0.08</v>
      </c>
      <c r="R91" s="41">
        <v>51515.76</v>
      </c>
      <c r="S91" s="41">
        <v>40394.790800000002</v>
      </c>
      <c r="T91" s="42"/>
      <c r="U91" s="41">
        <v>0</v>
      </c>
      <c r="V91" s="44">
        <v>983387.55079999997</v>
      </c>
      <c r="W91" s="25"/>
      <c r="X91" s="46"/>
    </row>
    <row r="92" spans="2:24" ht="18.75" customHeight="1" x14ac:dyDescent="0.25">
      <c r="B92" s="45">
        <v>19</v>
      </c>
      <c r="C92" s="45"/>
      <c r="D92" s="41">
        <v>277079</v>
      </c>
      <c r="E92" s="41">
        <v>36159</v>
      </c>
      <c r="F92" s="41">
        <v>0</v>
      </c>
      <c r="G92" s="41">
        <v>0</v>
      </c>
      <c r="H92" s="41">
        <v>0</v>
      </c>
      <c r="I92" s="41">
        <v>337931</v>
      </c>
      <c r="J92" s="41">
        <v>18268</v>
      </c>
      <c r="K92" s="41">
        <v>46575</v>
      </c>
      <c r="L92" s="41">
        <v>0</v>
      </c>
      <c r="M92" s="42">
        <v>0.15</v>
      </c>
      <c r="N92" s="41">
        <v>92252</v>
      </c>
      <c r="O92" s="43">
        <v>7.5999999999999998E-2</v>
      </c>
      <c r="P92" s="41">
        <v>46741</v>
      </c>
      <c r="Q92" s="42">
        <v>0.08</v>
      </c>
      <c r="R92" s="41">
        <v>49200.800000000003</v>
      </c>
      <c r="S92" s="41">
        <v>38579.728999999992</v>
      </c>
      <c r="T92" s="42"/>
      <c r="U92" s="41">
        <v>0</v>
      </c>
      <c r="V92" s="44">
        <v>942785.52899999998</v>
      </c>
      <c r="W92" s="25"/>
      <c r="X92" s="46"/>
    </row>
    <row r="93" spans="2:24" ht="18.75" customHeight="1" x14ac:dyDescent="0.25">
      <c r="B93" s="45">
        <v>20</v>
      </c>
      <c r="C93" s="45"/>
      <c r="D93" s="41">
        <v>258964</v>
      </c>
      <c r="E93" s="41">
        <v>33795</v>
      </c>
      <c r="F93" s="41">
        <v>0</v>
      </c>
      <c r="G93" s="41">
        <v>0</v>
      </c>
      <c r="H93" s="41">
        <v>0</v>
      </c>
      <c r="I93" s="41">
        <v>319627</v>
      </c>
      <c r="J93" s="41">
        <v>16940</v>
      </c>
      <c r="K93" s="41">
        <v>43387</v>
      </c>
      <c r="L93" s="41">
        <v>0</v>
      </c>
      <c r="M93" s="42">
        <v>0.15</v>
      </c>
      <c r="N93" s="41">
        <v>86789</v>
      </c>
      <c r="O93" s="43">
        <v>7.5999999999999998E-2</v>
      </c>
      <c r="P93" s="41">
        <v>43973</v>
      </c>
      <c r="Q93" s="42">
        <v>0.08</v>
      </c>
      <c r="R93" s="41">
        <v>46287.28</v>
      </c>
      <c r="S93" s="41">
        <v>36295.102399999996</v>
      </c>
      <c r="T93" s="42"/>
      <c r="U93" s="41">
        <v>0</v>
      </c>
      <c r="V93" s="44">
        <v>886057.3824</v>
      </c>
      <c r="W93" s="25"/>
      <c r="X93" s="46"/>
    </row>
    <row r="94" spans="2:24" ht="18.75" customHeight="1" x14ac:dyDescent="0.25">
      <c r="B94" s="45">
        <v>21</v>
      </c>
      <c r="C94" s="45"/>
      <c r="D94" s="41">
        <v>241999</v>
      </c>
      <c r="E94" s="41">
        <v>31581</v>
      </c>
      <c r="F94" s="41">
        <v>0</v>
      </c>
      <c r="G94" s="41">
        <v>0</v>
      </c>
      <c r="H94" s="41">
        <v>0</v>
      </c>
      <c r="I94" s="41">
        <v>306454</v>
      </c>
      <c r="J94" s="41">
        <v>16030</v>
      </c>
      <c r="K94" s="41">
        <v>41164</v>
      </c>
      <c r="L94" s="41">
        <v>0</v>
      </c>
      <c r="M94" s="42">
        <v>0.15</v>
      </c>
      <c r="N94" s="41">
        <v>82268</v>
      </c>
      <c r="O94" s="43">
        <v>7.5999999999999998E-2</v>
      </c>
      <c r="P94" s="41">
        <v>41682</v>
      </c>
      <c r="Q94" s="42">
        <v>0.08</v>
      </c>
      <c r="R94" s="41">
        <v>43876.24</v>
      </c>
      <c r="S94" s="41">
        <v>34404.379199999996</v>
      </c>
      <c r="T94" s="42"/>
      <c r="U94" s="41">
        <v>0</v>
      </c>
      <c r="V94" s="44">
        <v>839458.61919999996</v>
      </c>
      <c r="W94" s="25"/>
      <c r="X94" s="46"/>
    </row>
    <row r="95" spans="2:24" ht="18.75" customHeight="1" x14ac:dyDescent="0.25">
      <c r="B95" s="45">
        <v>22</v>
      </c>
      <c r="C95" s="45"/>
      <c r="D95" s="41">
        <v>226185</v>
      </c>
      <c r="E95" s="41">
        <v>29517</v>
      </c>
      <c r="F95" s="41">
        <v>0</v>
      </c>
      <c r="G95" s="41">
        <v>0</v>
      </c>
      <c r="H95" s="41">
        <v>0</v>
      </c>
      <c r="I95" s="41">
        <v>282158</v>
      </c>
      <c r="J95" s="41">
        <v>12520</v>
      </c>
      <c r="K95" s="41">
        <v>31999</v>
      </c>
      <c r="L95" s="41">
        <v>54204</v>
      </c>
      <c r="M95" s="42">
        <v>0.15</v>
      </c>
      <c r="N95" s="41">
        <v>76251</v>
      </c>
      <c r="O95" s="43">
        <v>7.5999999999999998E-2</v>
      </c>
      <c r="P95" s="41">
        <v>38634</v>
      </c>
      <c r="Q95" s="42">
        <v>0.08</v>
      </c>
      <c r="R95" s="41">
        <v>40667.440000000002</v>
      </c>
      <c r="S95" s="41">
        <v>31888.250199999999</v>
      </c>
      <c r="T95" s="42"/>
      <c r="U95" s="41">
        <v>0</v>
      </c>
      <c r="V95" s="44">
        <v>824023.69020000007</v>
      </c>
      <c r="W95" s="25"/>
      <c r="X95" s="46"/>
    </row>
    <row r="96" spans="2:24" ht="18.75" customHeight="1" x14ac:dyDescent="0.25">
      <c r="B96" s="45">
        <v>23</v>
      </c>
      <c r="C96" s="45"/>
      <c r="D96" s="41">
        <v>211386</v>
      </c>
      <c r="E96" s="41">
        <v>27586</v>
      </c>
      <c r="F96" s="41">
        <v>0</v>
      </c>
      <c r="G96" s="41">
        <v>0</v>
      </c>
      <c r="H96" s="41">
        <v>0</v>
      </c>
      <c r="I96" s="41">
        <v>253083</v>
      </c>
      <c r="J96" s="41">
        <v>11858</v>
      </c>
      <c r="K96" s="41">
        <v>30453</v>
      </c>
      <c r="L96" s="41">
        <v>102217</v>
      </c>
      <c r="M96" s="42">
        <v>0.15</v>
      </c>
      <c r="N96" s="41">
        <v>69670</v>
      </c>
      <c r="O96" s="43">
        <v>7.5999999999999998E-2</v>
      </c>
      <c r="P96" s="41">
        <v>35300</v>
      </c>
      <c r="Q96" s="42">
        <v>0.08</v>
      </c>
      <c r="R96" s="41">
        <v>37157.520000000004</v>
      </c>
      <c r="S96" s="41">
        <v>29136.141600000003</v>
      </c>
      <c r="T96" s="42"/>
      <c r="U96" s="41">
        <v>0</v>
      </c>
      <c r="V96" s="44">
        <v>807846.66159999999</v>
      </c>
      <c r="W96" s="25"/>
      <c r="X96" s="46"/>
    </row>
    <row r="97" spans="2:24" ht="18.75" customHeight="1" x14ac:dyDescent="0.25">
      <c r="B97" s="45">
        <v>24</v>
      </c>
      <c r="C97" s="45"/>
      <c r="D97" s="41">
        <v>197541</v>
      </c>
      <c r="E97" s="41">
        <v>25779</v>
      </c>
      <c r="F97" s="41">
        <v>0</v>
      </c>
      <c r="G97" s="41">
        <v>0</v>
      </c>
      <c r="H97" s="41">
        <v>0</v>
      </c>
      <c r="I97" s="41">
        <v>230735</v>
      </c>
      <c r="J97" s="41">
        <v>11298</v>
      </c>
      <c r="K97" s="41">
        <v>29082</v>
      </c>
      <c r="L97" s="41">
        <v>142148</v>
      </c>
      <c r="M97" s="42">
        <v>0.15</v>
      </c>
      <c r="N97" s="41">
        <v>64241</v>
      </c>
      <c r="O97" s="43">
        <v>7.5999999999999998E-2</v>
      </c>
      <c r="P97" s="41">
        <v>32549</v>
      </c>
      <c r="Q97" s="42">
        <v>0.08</v>
      </c>
      <c r="R97" s="41">
        <v>34262.080000000002</v>
      </c>
      <c r="S97" s="41">
        <v>26865.6764</v>
      </c>
      <c r="T97" s="42"/>
      <c r="U97" s="41">
        <v>0</v>
      </c>
      <c r="V97" s="44">
        <v>794500.75640000007</v>
      </c>
      <c r="W97" s="25"/>
      <c r="X97" s="46"/>
    </row>
    <row r="98" spans="2:24" ht="18.75" customHeight="1" x14ac:dyDescent="0.25">
      <c r="B98" s="45">
        <v>25</v>
      </c>
      <c r="C98" s="45"/>
      <c r="D98" s="41">
        <v>184626</v>
      </c>
      <c r="E98" s="41">
        <v>24094</v>
      </c>
      <c r="F98" s="41">
        <v>0</v>
      </c>
      <c r="G98" s="41">
        <v>0</v>
      </c>
      <c r="H98" s="41">
        <v>0</v>
      </c>
      <c r="I98" s="41">
        <v>223339</v>
      </c>
      <c r="J98" s="41">
        <v>10189</v>
      </c>
      <c r="K98" s="41">
        <v>26024</v>
      </c>
      <c r="L98" s="41">
        <v>168311</v>
      </c>
      <c r="M98" s="42">
        <v>0.15</v>
      </c>
      <c r="N98" s="41">
        <v>61195</v>
      </c>
      <c r="O98" s="43">
        <v>7.5999999999999998E-2</v>
      </c>
      <c r="P98" s="41">
        <v>31005</v>
      </c>
      <c r="Q98" s="42">
        <v>0.08</v>
      </c>
      <c r="R98" s="41">
        <v>32637.200000000001</v>
      </c>
      <c r="S98" s="41">
        <v>25591.625999999997</v>
      </c>
      <c r="T98" s="42"/>
      <c r="U98" s="41">
        <v>0</v>
      </c>
      <c r="V98" s="44">
        <v>787011.826</v>
      </c>
      <c r="W98" s="25"/>
      <c r="X98" s="46"/>
    </row>
    <row r="99" spans="2:24" ht="18.75" customHeight="1" x14ac:dyDescent="0.25">
      <c r="B99"/>
      <c r="C99"/>
      <c r="O99"/>
      <c r="W99" s="25"/>
      <c r="X99" s="46"/>
    </row>
    <row r="100" spans="2:24" ht="18.75" customHeight="1" x14ac:dyDescent="0.25">
      <c r="B100" s="51" t="s">
        <v>515</v>
      </c>
      <c r="C100" s="51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46"/>
    </row>
    <row r="101" spans="2:24" ht="18.75" customHeight="1" x14ac:dyDescent="0.25">
      <c r="B101" s="45">
        <v>9</v>
      </c>
      <c r="C101" s="45"/>
      <c r="D101" s="41">
        <v>592709</v>
      </c>
      <c r="E101" s="41">
        <v>77349</v>
      </c>
      <c r="F101" s="41">
        <v>444448</v>
      </c>
      <c r="G101" s="41">
        <v>0</v>
      </c>
      <c r="H101" s="41">
        <v>0</v>
      </c>
      <c r="I101" s="41">
        <v>961158.3</v>
      </c>
      <c r="J101" s="41">
        <v>99509</v>
      </c>
      <c r="K101" s="41">
        <v>241349</v>
      </c>
      <c r="L101" s="41">
        <v>0</v>
      </c>
      <c r="M101" s="42">
        <v>0.15</v>
      </c>
      <c r="N101" s="41">
        <v>299747</v>
      </c>
      <c r="O101" s="43">
        <v>7.5999999999999998E-2</v>
      </c>
      <c r="P101" s="41">
        <v>151872</v>
      </c>
      <c r="Q101" s="42">
        <v>0.08</v>
      </c>
      <c r="R101" s="41">
        <v>159865.22400000002</v>
      </c>
      <c r="S101" s="41">
        <v>125354.26592000001</v>
      </c>
      <c r="T101" s="42"/>
      <c r="U101" s="41">
        <v>0</v>
      </c>
      <c r="V101" s="44">
        <v>3153360.7899200004</v>
      </c>
      <c r="W101" s="25"/>
      <c r="X101" s="46"/>
    </row>
    <row r="102" spans="2:24" ht="18.75" customHeight="1" x14ac:dyDescent="0.25">
      <c r="B102" s="45">
        <v>10</v>
      </c>
      <c r="C102" s="45"/>
      <c r="D102" s="41">
        <v>548845</v>
      </c>
      <c r="E102" s="41">
        <v>71624</v>
      </c>
      <c r="F102" s="41">
        <v>402209</v>
      </c>
      <c r="G102" s="41">
        <v>0</v>
      </c>
      <c r="H102" s="41">
        <v>0</v>
      </c>
      <c r="I102" s="41">
        <v>883665.6</v>
      </c>
      <c r="J102" s="41">
        <v>92131</v>
      </c>
      <c r="K102" s="41">
        <v>223491</v>
      </c>
      <c r="L102" s="41">
        <v>0</v>
      </c>
      <c r="M102" s="42">
        <v>0.15</v>
      </c>
      <c r="N102" s="41">
        <v>275208</v>
      </c>
      <c r="O102" s="43">
        <v>7.5999999999999998E-2</v>
      </c>
      <c r="P102" s="41">
        <v>139439</v>
      </c>
      <c r="Q102" s="42">
        <v>0.08</v>
      </c>
      <c r="R102" s="41">
        <v>146777.568</v>
      </c>
      <c r="S102" s="41">
        <v>115092.03643999998</v>
      </c>
      <c r="T102" s="42"/>
      <c r="U102" s="41">
        <v>0</v>
      </c>
      <c r="V102" s="44">
        <v>2898482.20444</v>
      </c>
      <c r="W102" s="25"/>
      <c r="X102" s="46"/>
    </row>
    <row r="103" spans="2:24" ht="18.75" customHeight="1" x14ac:dyDescent="0.25">
      <c r="B103" s="45">
        <v>11</v>
      </c>
      <c r="C103" s="45"/>
      <c r="D103" s="41">
        <v>508223</v>
      </c>
      <c r="E103" s="41">
        <v>66323</v>
      </c>
      <c r="F103" s="41">
        <v>363998</v>
      </c>
      <c r="G103" s="41">
        <v>0</v>
      </c>
      <c r="H103" s="41">
        <v>0</v>
      </c>
      <c r="I103" s="41">
        <v>812715.9</v>
      </c>
      <c r="J103" s="41">
        <v>85320</v>
      </c>
      <c r="K103" s="41">
        <v>206954</v>
      </c>
      <c r="L103" s="41">
        <v>0</v>
      </c>
      <c r="M103" s="42">
        <v>0.15</v>
      </c>
      <c r="N103" s="41">
        <v>252741</v>
      </c>
      <c r="O103" s="43">
        <v>7.5999999999999998E-2</v>
      </c>
      <c r="P103" s="41">
        <v>128055</v>
      </c>
      <c r="Q103" s="42">
        <v>0.08</v>
      </c>
      <c r="R103" s="41">
        <v>134794.95199999999</v>
      </c>
      <c r="S103" s="41">
        <v>105696.14515999999</v>
      </c>
      <c r="T103" s="42"/>
      <c r="U103" s="41">
        <v>0</v>
      </c>
      <c r="V103" s="44">
        <v>2664820.9971599998</v>
      </c>
      <c r="W103" s="25"/>
      <c r="X103" s="46"/>
    </row>
    <row r="104" spans="2:24" ht="18.75" customHeight="1" x14ac:dyDescent="0.25">
      <c r="B104" s="45">
        <v>12</v>
      </c>
      <c r="C104" s="45"/>
      <c r="D104" s="41">
        <v>470574</v>
      </c>
      <c r="E104" s="41">
        <v>61410</v>
      </c>
      <c r="F104" s="41">
        <v>329407</v>
      </c>
      <c r="G104" s="41">
        <v>0</v>
      </c>
      <c r="H104" s="41">
        <v>0</v>
      </c>
      <c r="I104" s="41">
        <v>747699.9</v>
      </c>
      <c r="J104" s="41">
        <v>78989</v>
      </c>
      <c r="K104" s="41">
        <v>191615</v>
      </c>
      <c r="L104" s="41">
        <v>0</v>
      </c>
      <c r="M104" s="42">
        <v>0.15</v>
      </c>
      <c r="N104" s="41">
        <v>232152</v>
      </c>
      <c r="O104" s="43">
        <v>7.5999999999999998E-2</v>
      </c>
      <c r="P104" s="41">
        <v>117624</v>
      </c>
      <c r="Q104" s="42">
        <v>0.08</v>
      </c>
      <c r="R104" s="41">
        <v>123814.47199999999</v>
      </c>
      <c r="S104" s="41">
        <v>97086.046759999997</v>
      </c>
      <c r="T104" s="42"/>
      <c r="U104" s="41">
        <v>0</v>
      </c>
      <c r="V104" s="44">
        <v>2450371.4187599998</v>
      </c>
      <c r="W104" s="25"/>
      <c r="X104" s="46"/>
    </row>
    <row r="105" spans="2:24" ht="18.75" customHeight="1" x14ac:dyDescent="0.25">
      <c r="B105" s="45">
        <v>13</v>
      </c>
      <c r="C105" s="45"/>
      <c r="D105" s="41">
        <v>435703</v>
      </c>
      <c r="E105" s="41">
        <v>56859</v>
      </c>
      <c r="F105" s="41">
        <v>295846</v>
      </c>
      <c r="G105" s="41">
        <v>0</v>
      </c>
      <c r="H105" s="41">
        <v>0</v>
      </c>
      <c r="I105" s="41">
        <v>686111.1</v>
      </c>
      <c r="J105" s="41">
        <v>66907</v>
      </c>
      <c r="K105" s="41">
        <v>162287</v>
      </c>
      <c r="L105" s="41">
        <v>0</v>
      </c>
      <c r="M105" s="42">
        <v>0.15</v>
      </c>
      <c r="N105" s="41">
        <v>212649</v>
      </c>
      <c r="O105" s="43">
        <v>7.5999999999999998E-2</v>
      </c>
      <c r="P105" s="41">
        <v>107742</v>
      </c>
      <c r="Q105" s="42">
        <v>0.08</v>
      </c>
      <c r="R105" s="41">
        <v>113412.808</v>
      </c>
      <c r="S105" s="41">
        <v>88929.780639999997</v>
      </c>
      <c r="T105" s="42"/>
      <c r="U105" s="41">
        <v>0</v>
      </c>
      <c r="V105" s="44">
        <v>2226446.6886399998</v>
      </c>
      <c r="W105" s="25"/>
      <c r="X105" s="46"/>
    </row>
    <row r="106" spans="2:24" ht="18.75" customHeight="1" x14ac:dyDescent="0.25">
      <c r="B106" s="45">
        <v>14</v>
      </c>
      <c r="C106" s="45"/>
      <c r="D106" s="41">
        <v>403364</v>
      </c>
      <c r="E106" s="41">
        <v>52639</v>
      </c>
      <c r="F106" s="41">
        <v>265575</v>
      </c>
      <c r="G106" s="41">
        <v>0</v>
      </c>
      <c r="H106" s="41">
        <v>0</v>
      </c>
      <c r="I106" s="41">
        <v>629762.1</v>
      </c>
      <c r="J106" s="41">
        <v>61946</v>
      </c>
      <c r="K106" s="41">
        <v>150253</v>
      </c>
      <c r="L106" s="41">
        <v>0</v>
      </c>
      <c r="M106" s="42">
        <v>0.15</v>
      </c>
      <c r="N106" s="41">
        <v>194805</v>
      </c>
      <c r="O106" s="43">
        <v>7.5999999999999998E-2</v>
      </c>
      <c r="P106" s="41">
        <v>98701</v>
      </c>
      <c r="Q106" s="42">
        <v>0.08</v>
      </c>
      <c r="R106" s="41">
        <v>103896.088</v>
      </c>
      <c r="S106" s="41">
        <v>81467.428039999999</v>
      </c>
      <c r="T106" s="42"/>
      <c r="U106" s="41">
        <v>0</v>
      </c>
      <c r="V106" s="44">
        <v>2042408.61604</v>
      </c>
      <c r="W106" s="25"/>
      <c r="X106" s="46"/>
    </row>
    <row r="107" spans="2:24" ht="18.75" customHeight="1" x14ac:dyDescent="0.25">
      <c r="B107" s="45">
        <v>15</v>
      </c>
      <c r="C107" s="45"/>
      <c r="D107" s="41">
        <v>373512</v>
      </c>
      <c r="E107" s="41">
        <v>48743</v>
      </c>
      <c r="F107" s="41">
        <v>238389</v>
      </c>
      <c r="G107" s="41">
        <v>0</v>
      </c>
      <c r="H107" s="41">
        <v>0</v>
      </c>
      <c r="I107" s="41">
        <v>578427.9</v>
      </c>
      <c r="J107" s="41">
        <v>57315</v>
      </c>
      <c r="K107" s="41">
        <v>139128</v>
      </c>
      <c r="L107" s="41">
        <v>0</v>
      </c>
      <c r="M107" s="42">
        <v>0.15</v>
      </c>
      <c r="N107" s="41">
        <v>178549</v>
      </c>
      <c r="O107" s="43">
        <v>7.5999999999999998E-2</v>
      </c>
      <c r="P107" s="41">
        <v>90465</v>
      </c>
      <c r="Q107" s="42">
        <v>0.08</v>
      </c>
      <c r="R107" s="41">
        <v>95226.311999999991</v>
      </c>
      <c r="S107" s="41">
        <v>74669.263959999997</v>
      </c>
      <c r="T107" s="42"/>
      <c r="U107" s="41">
        <v>0</v>
      </c>
      <c r="V107" s="44">
        <v>1874424.47596</v>
      </c>
      <c r="W107" s="25"/>
      <c r="X107" s="46"/>
    </row>
    <row r="108" spans="2:24" ht="18.75" customHeight="1" x14ac:dyDescent="0.25">
      <c r="B108" s="45">
        <v>16</v>
      </c>
      <c r="C108" s="45"/>
      <c r="D108" s="41">
        <v>345775</v>
      </c>
      <c r="E108" s="41">
        <v>45124</v>
      </c>
      <c r="F108" s="41">
        <v>213997</v>
      </c>
      <c r="G108" s="41">
        <v>0</v>
      </c>
      <c r="H108" s="41">
        <v>0</v>
      </c>
      <c r="I108" s="41">
        <v>531511.80000000005</v>
      </c>
      <c r="J108" s="41">
        <v>53087</v>
      </c>
      <c r="K108" s="41">
        <v>128801</v>
      </c>
      <c r="L108" s="41">
        <v>0</v>
      </c>
      <c r="M108" s="42">
        <v>0.15</v>
      </c>
      <c r="N108" s="41">
        <v>163693</v>
      </c>
      <c r="O108" s="43">
        <v>7.5999999999999998E-2</v>
      </c>
      <c r="P108" s="41">
        <v>82938</v>
      </c>
      <c r="Q108" s="42">
        <v>0.08</v>
      </c>
      <c r="R108" s="41">
        <v>87302.704000000012</v>
      </c>
      <c r="S108" s="41">
        <v>68456.409320000006</v>
      </c>
      <c r="T108" s="42"/>
      <c r="U108" s="41">
        <v>0</v>
      </c>
      <c r="V108" s="44">
        <v>1720685.9133200001</v>
      </c>
      <c r="W108" s="25"/>
      <c r="X108" s="46"/>
    </row>
    <row r="109" spans="2:24" ht="18.75" customHeight="1" x14ac:dyDescent="0.25">
      <c r="B109" s="45">
        <v>17</v>
      </c>
      <c r="C109" s="45"/>
      <c r="D109" s="41">
        <v>320172</v>
      </c>
      <c r="E109" s="41">
        <v>41782</v>
      </c>
      <c r="F109" s="41">
        <v>192103</v>
      </c>
      <c r="G109" s="41">
        <v>0</v>
      </c>
      <c r="H109" s="41">
        <v>0</v>
      </c>
      <c r="I109" s="41">
        <v>488764.5</v>
      </c>
      <c r="J109" s="41">
        <v>49171</v>
      </c>
      <c r="K109" s="41">
        <v>119268</v>
      </c>
      <c r="L109" s="41">
        <v>0</v>
      </c>
      <c r="M109" s="42">
        <v>0.15</v>
      </c>
      <c r="N109" s="41">
        <v>150156</v>
      </c>
      <c r="O109" s="43">
        <v>7.5999999999999998E-2</v>
      </c>
      <c r="P109" s="41">
        <v>76079</v>
      </c>
      <c r="Q109" s="42">
        <v>0.08</v>
      </c>
      <c r="R109" s="41">
        <v>80083.16</v>
      </c>
      <c r="S109" s="41">
        <v>62795.222800000003</v>
      </c>
      <c r="T109" s="42"/>
      <c r="U109" s="41">
        <v>0</v>
      </c>
      <c r="V109" s="44">
        <v>1580373.8828</v>
      </c>
      <c r="W109" s="25"/>
      <c r="X109" s="46"/>
    </row>
    <row r="110" spans="2:24" ht="18.75" customHeight="1" x14ac:dyDescent="0.25">
      <c r="B110" s="45">
        <v>18</v>
      </c>
      <c r="C110" s="45"/>
      <c r="D110" s="41">
        <v>296465</v>
      </c>
      <c r="E110" s="41">
        <v>38689</v>
      </c>
      <c r="F110" s="41">
        <v>167832</v>
      </c>
      <c r="G110" s="41">
        <v>0</v>
      </c>
      <c r="H110" s="41">
        <v>0</v>
      </c>
      <c r="I110" s="41">
        <v>507958.3</v>
      </c>
      <c r="J110" s="41">
        <v>32196</v>
      </c>
      <c r="K110" s="41">
        <v>80603</v>
      </c>
      <c r="L110" s="41">
        <v>0</v>
      </c>
      <c r="M110" s="42">
        <v>0.15</v>
      </c>
      <c r="N110" s="41">
        <v>145838</v>
      </c>
      <c r="O110" s="43">
        <v>7.5999999999999998E-2</v>
      </c>
      <c r="P110" s="41">
        <v>73891</v>
      </c>
      <c r="Q110" s="42">
        <v>0.08</v>
      </c>
      <c r="R110" s="41">
        <v>77780.423999999999</v>
      </c>
      <c r="S110" s="41">
        <v>60989.431919999995</v>
      </c>
      <c r="T110" s="42"/>
      <c r="U110" s="41">
        <v>0</v>
      </c>
      <c r="V110" s="44">
        <v>1482242.15592</v>
      </c>
      <c r="W110" s="25"/>
      <c r="X110" s="46"/>
    </row>
    <row r="111" spans="2:24" ht="18.75" customHeight="1" x14ac:dyDescent="0.25">
      <c r="B111" s="45">
        <v>19</v>
      </c>
      <c r="C111" s="45"/>
      <c r="D111" s="41">
        <v>277079</v>
      </c>
      <c r="E111" s="41">
        <v>36159</v>
      </c>
      <c r="F111" s="41">
        <v>133198</v>
      </c>
      <c r="G111" s="41">
        <v>0</v>
      </c>
      <c r="H111" s="41">
        <v>0</v>
      </c>
      <c r="I111" s="41">
        <v>472426.3</v>
      </c>
      <c r="J111" s="41">
        <v>31182</v>
      </c>
      <c r="K111" s="41">
        <v>78148</v>
      </c>
      <c r="L111" s="41">
        <v>0</v>
      </c>
      <c r="M111" s="42">
        <v>0.15</v>
      </c>
      <c r="N111" s="41">
        <v>132405</v>
      </c>
      <c r="O111" s="43">
        <v>7.5999999999999998E-2</v>
      </c>
      <c r="P111" s="41">
        <v>67085</v>
      </c>
      <c r="Q111" s="42">
        <v>0.08</v>
      </c>
      <c r="R111" s="41">
        <v>70616.26400000001</v>
      </c>
      <c r="S111" s="41">
        <v>55371.784120000004</v>
      </c>
      <c r="T111" s="42"/>
      <c r="U111" s="41">
        <v>0</v>
      </c>
      <c r="V111" s="44">
        <v>1353670.34812</v>
      </c>
      <c r="W111" s="25"/>
      <c r="X111" s="46"/>
    </row>
    <row r="112" spans="2:24" ht="18.75" customHeight="1" x14ac:dyDescent="0.25">
      <c r="B112" s="45">
        <v>20</v>
      </c>
      <c r="C112" s="45"/>
      <c r="D112" s="41">
        <v>258964</v>
      </c>
      <c r="E112" s="41">
        <v>33795</v>
      </c>
      <c r="F112" s="41">
        <v>105718</v>
      </c>
      <c r="G112" s="41">
        <v>0</v>
      </c>
      <c r="H112" s="41">
        <v>0</v>
      </c>
      <c r="I112" s="41">
        <v>431390.8</v>
      </c>
      <c r="J112" s="41">
        <v>29291</v>
      </c>
      <c r="K112" s="41">
        <v>73604</v>
      </c>
      <c r="L112" s="41">
        <v>0</v>
      </c>
      <c r="M112" s="42">
        <v>0.15</v>
      </c>
      <c r="N112" s="41">
        <v>119411</v>
      </c>
      <c r="O112" s="43">
        <v>7.5999999999999998E-2</v>
      </c>
      <c r="P112" s="41">
        <v>60502</v>
      </c>
      <c r="Q112" s="42">
        <v>0.08</v>
      </c>
      <c r="R112" s="41">
        <v>63685.824000000008</v>
      </c>
      <c r="S112" s="41">
        <v>49937.75892</v>
      </c>
      <c r="T112" s="42"/>
      <c r="U112" s="41">
        <v>0</v>
      </c>
      <c r="V112" s="44">
        <v>1226299.38292</v>
      </c>
      <c r="W112" s="25"/>
      <c r="X112" s="46"/>
    </row>
    <row r="113" spans="2:24" ht="18.75" customHeight="1" x14ac:dyDescent="0.25">
      <c r="B113" s="45">
        <v>21</v>
      </c>
      <c r="C113" s="45"/>
      <c r="D113" s="41">
        <v>241999</v>
      </c>
      <c r="E113" s="41">
        <v>31581</v>
      </c>
      <c r="F113" s="41">
        <v>83904</v>
      </c>
      <c r="G113" s="41">
        <v>0</v>
      </c>
      <c r="H113" s="41">
        <v>0</v>
      </c>
      <c r="I113" s="41">
        <v>396489.7</v>
      </c>
      <c r="J113" s="41">
        <v>27535</v>
      </c>
      <c r="K113" s="41">
        <v>69306</v>
      </c>
      <c r="L113" s="41">
        <v>0</v>
      </c>
      <c r="M113" s="42">
        <v>0.15</v>
      </c>
      <c r="N113" s="41">
        <v>108359</v>
      </c>
      <c r="O113" s="43">
        <v>7.5999999999999998E-2</v>
      </c>
      <c r="P113" s="41">
        <v>54902</v>
      </c>
      <c r="Q113" s="42">
        <v>0.08</v>
      </c>
      <c r="R113" s="41">
        <v>57791.415999999997</v>
      </c>
      <c r="S113" s="41">
        <v>45315.745279999996</v>
      </c>
      <c r="T113" s="42"/>
      <c r="U113" s="41">
        <v>0</v>
      </c>
      <c r="V113" s="44">
        <v>1117182.8612800001</v>
      </c>
      <c r="W113" s="25"/>
      <c r="X113" s="46"/>
    </row>
    <row r="114" spans="2:24" ht="18.75" customHeight="1" x14ac:dyDescent="0.25">
      <c r="B114" s="45">
        <v>22</v>
      </c>
      <c r="C114" s="45"/>
      <c r="D114" s="41">
        <v>226185</v>
      </c>
      <c r="E114" s="41">
        <v>29517</v>
      </c>
      <c r="F114" s="41">
        <v>66583</v>
      </c>
      <c r="G114" s="41">
        <v>0</v>
      </c>
      <c r="H114" s="41">
        <v>0</v>
      </c>
      <c r="I114" s="41">
        <v>367796.2</v>
      </c>
      <c r="J114" s="41">
        <v>25989</v>
      </c>
      <c r="K114" s="41">
        <v>65565</v>
      </c>
      <c r="L114" s="41">
        <v>0</v>
      </c>
      <c r="M114" s="42">
        <v>0.15</v>
      </c>
      <c r="N114" s="41">
        <v>99085</v>
      </c>
      <c r="O114" s="43">
        <v>7.5999999999999998E-2</v>
      </c>
      <c r="P114" s="41">
        <v>50203</v>
      </c>
      <c r="Q114" s="42">
        <v>0.08</v>
      </c>
      <c r="R114" s="41">
        <v>52845.135999999999</v>
      </c>
      <c r="S114" s="41">
        <v>41437.292880000001</v>
      </c>
      <c r="T114" s="42"/>
      <c r="U114" s="41">
        <v>0</v>
      </c>
      <c r="V114" s="44">
        <v>1025205.62888</v>
      </c>
      <c r="W114" s="25"/>
      <c r="X114" s="46"/>
    </row>
    <row r="115" spans="2:24" ht="18.75" customHeight="1" x14ac:dyDescent="0.25">
      <c r="B115" s="45">
        <v>23</v>
      </c>
      <c r="C115" s="45"/>
      <c r="D115" s="41">
        <v>211386</v>
      </c>
      <c r="E115" s="41">
        <v>27586</v>
      </c>
      <c r="F115" s="41">
        <v>52848</v>
      </c>
      <c r="G115" s="41">
        <v>0</v>
      </c>
      <c r="H115" s="41">
        <v>0</v>
      </c>
      <c r="I115" s="41">
        <v>342115.6</v>
      </c>
      <c r="J115" s="41">
        <v>24429</v>
      </c>
      <c r="K115" s="41">
        <v>61842</v>
      </c>
      <c r="L115" s="41">
        <v>0</v>
      </c>
      <c r="M115" s="42">
        <v>0.15</v>
      </c>
      <c r="N115" s="41">
        <v>90952</v>
      </c>
      <c r="O115" s="43">
        <v>7.5999999999999998E-2</v>
      </c>
      <c r="P115" s="41">
        <v>46083</v>
      </c>
      <c r="Q115" s="42">
        <v>0.08</v>
      </c>
      <c r="R115" s="41">
        <v>48507.968000000001</v>
      </c>
      <c r="S115" s="41">
        <v>38036.308439999993</v>
      </c>
      <c r="T115" s="42"/>
      <c r="U115" s="41">
        <v>0</v>
      </c>
      <c r="V115" s="44">
        <v>943785.87644000002</v>
      </c>
      <c r="W115" s="25"/>
      <c r="X115" s="46"/>
    </row>
    <row r="116" spans="2:24" ht="18.75" customHeight="1" x14ac:dyDescent="0.25">
      <c r="B116"/>
      <c r="C116"/>
      <c r="O116"/>
      <c r="W116" s="25"/>
      <c r="X116" s="46"/>
    </row>
    <row r="117" spans="2:24" ht="18.75" customHeight="1" x14ac:dyDescent="0.25">
      <c r="B117" s="51" t="s">
        <v>516</v>
      </c>
      <c r="C117" s="51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46"/>
    </row>
    <row r="118" spans="2:24" ht="18.75" customHeight="1" x14ac:dyDescent="0.25">
      <c r="B118" s="45">
        <v>9</v>
      </c>
      <c r="C118" s="45"/>
      <c r="D118" s="41">
        <v>592709</v>
      </c>
      <c r="E118" s="41">
        <v>77349</v>
      </c>
      <c r="F118" s="41">
        <v>0</v>
      </c>
      <c r="G118" s="41">
        <v>0</v>
      </c>
      <c r="H118" s="41">
        <v>0</v>
      </c>
      <c r="I118" s="41">
        <v>436193</v>
      </c>
      <c r="J118" s="41">
        <v>27250</v>
      </c>
      <c r="K118" s="41">
        <v>66107</v>
      </c>
      <c r="L118" s="41">
        <v>0</v>
      </c>
      <c r="M118" s="42">
        <v>0.15</v>
      </c>
      <c r="N118" s="41">
        <v>154335</v>
      </c>
      <c r="O118" s="43">
        <v>7.5999999999999998E-2</v>
      </c>
      <c r="P118" s="41">
        <v>78197</v>
      </c>
      <c r="Q118" s="42">
        <v>0.08</v>
      </c>
      <c r="R118" s="41">
        <v>82312.160000000003</v>
      </c>
      <c r="S118" s="41">
        <v>64543.052800000005</v>
      </c>
      <c r="T118" s="42"/>
      <c r="U118" s="41">
        <v>0</v>
      </c>
      <c r="V118" s="44">
        <v>1578995.2127999999</v>
      </c>
      <c r="W118" s="25"/>
      <c r="X118" s="46"/>
    </row>
    <row r="119" spans="2:24" ht="18.75" customHeight="1" x14ac:dyDescent="0.25">
      <c r="B119" s="45">
        <v>10</v>
      </c>
      <c r="C119" s="45"/>
      <c r="D119" s="41">
        <v>548845</v>
      </c>
      <c r="E119" s="41">
        <v>71624</v>
      </c>
      <c r="F119" s="41">
        <v>0</v>
      </c>
      <c r="G119" s="41">
        <v>0</v>
      </c>
      <c r="H119" s="41">
        <v>0</v>
      </c>
      <c r="I119" s="41">
        <v>429068</v>
      </c>
      <c r="J119" s="41">
        <v>25620</v>
      </c>
      <c r="K119" s="41">
        <v>62088</v>
      </c>
      <c r="L119" s="41">
        <v>0</v>
      </c>
      <c r="M119" s="42">
        <v>0.15</v>
      </c>
      <c r="N119" s="41">
        <v>146687</v>
      </c>
      <c r="O119" s="43">
        <v>7.5999999999999998E-2</v>
      </c>
      <c r="P119" s="41">
        <v>74321</v>
      </c>
      <c r="Q119" s="42">
        <v>0.08</v>
      </c>
      <c r="R119" s="41">
        <v>78233.040000000008</v>
      </c>
      <c r="S119" s="41">
        <v>61344.413200000003</v>
      </c>
      <c r="T119" s="42"/>
      <c r="U119" s="41">
        <v>0</v>
      </c>
      <c r="V119" s="44">
        <v>1497830.4531999999</v>
      </c>
      <c r="W119" s="25"/>
      <c r="X119" s="46"/>
    </row>
    <row r="120" spans="2:24" ht="18.75" customHeight="1" x14ac:dyDescent="0.25">
      <c r="B120" s="45">
        <v>11</v>
      </c>
      <c r="C120" s="45"/>
      <c r="D120" s="41">
        <v>508223</v>
      </c>
      <c r="E120" s="41">
        <v>66323</v>
      </c>
      <c r="F120" s="41">
        <v>0</v>
      </c>
      <c r="G120" s="41">
        <v>0</v>
      </c>
      <c r="H120" s="41">
        <v>0</v>
      </c>
      <c r="I120" s="41">
        <v>419710</v>
      </c>
      <c r="J120" s="41">
        <v>23671</v>
      </c>
      <c r="K120" s="41">
        <v>57417</v>
      </c>
      <c r="L120" s="41">
        <v>0</v>
      </c>
      <c r="M120" s="42">
        <v>0.15</v>
      </c>
      <c r="N120" s="41">
        <v>139190</v>
      </c>
      <c r="O120" s="43">
        <v>7.5999999999999998E-2</v>
      </c>
      <c r="P120" s="41">
        <v>70523</v>
      </c>
      <c r="Q120" s="42">
        <v>0.08</v>
      </c>
      <c r="R120" s="41">
        <v>74234.64</v>
      </c>
      <c r="S120" s="41">
        <v>58209.266199999998</v>
      </c>
      <c r="T120" s="42"/>
      <c r="U120" s="41">
        <v>0</v>
      </c>
      <c r="V120" s="44">
        <v>1417500.9062000001</v>
      </c>
      <c r="W120" s="25"/>
      <c r="X120" s="46"/>
    </row>
    <row r="121" spans="2:24" ht="18.75" customHeight="1" x14ac:dyDescent="0.25">
      <c r="B121" s="45">
        <v>12</v>
      </c>
      <c r="C121" s="45"/>
      <c r="D121" s="41">
        <v>470574</v>
      </c>
      <c r="E121" s="41">
        <v>61410</v>
      </c>
      <c r="F121" s="41">
        <v>0</v>
      </c>
      <c r="G121" s="41">
        <v>0</v>
      </c>
      <c r="H121" s="41">
        <v>0</v>
      </c>
      <c r="I121" s="41">
        <v>410599</v>
      </c>
      <c r="J121" s="41">
        <v>23422</v>
      </c>
      <c r="K121" s="41">
        <v>59348</v>
      </c>
      <c r="L121" s="41">
        <v>0</v>
      </c>
      <c r="M121" s="42">
        <v>0.15</v>
      </c>
      <c r="N121" s="41">
        <v>132176</v>
      </c>
      <c r="O121" s="43">
        <v>7.5999999999999998E-2</v>
      </c>
      <c r="P121" s="41">
        <v>66969</v>
      </c>
      <c r="Q121" s="42">
        <v>0.08</v>
      </c>
      <c r="R121" s="41">
        <v>70493.84</v>
      </c>
      <c r="S121" s="41">
        <v>55275.962199999987</v>
      </c>
      <c r="T121" s="42"/>
      <c r="U121" s="41">
        <v>0</v>
      </c>
      <c r="V121" s="44">
        <v>1350267.8022</v>
      </c>
      <c r="W121" s="25"/>
      <c r="X121" s="46"/>
    </row>
    <row r="122" spans="2:24" ht="18.75" customHeight="1" x14ac:dyDescent="0.25">
      <c r="B122" s="45">
        <v>13</v>
      </c>
      <c r="C122" s="45"/>
      <c r="D122" s="41">
        <v>435703</v>
      </c>
      <c r="E122" s="41">
        <v>56859</v>
      </c>
      <c r="F122" s="41">
        <v>0</v>
      </c>
      <c r="G122" s="41">
        <v>0</v>
      </c>
      <c r="H122" s="41">
        <v>0</v>
      </c>
      <c r="I122" s="41">
        <v>402593</v>
      </c>
      <c r="J122" s="41">
        <v>21818</v>
      </c>
      <c r="K122" s="41">
        <v>55494</v>
      </c>
      <c r="L122" s="41">
        <v>0</v>
      </c>
      <c r="M122" s="42">
        <v>0.15</v>
      </c>
      <c r="N122" s="41">
        <v>125744</v>
      </c>
      <c r="O122" s="43">
        <v>7.5999999999999998E-2</v>
      </c>
      <c r="P122" s="41">
        <v>63710</v>
      </c>
      <c r="Q122" s="42">
        <v>0.08</v>
      </c>
      <c r="R122" s="41">
        <v>67063.680000000008</v>
      </c>
      <c r="S122" s="41">
        <v>52586.124399999993</v>
      </c>
      <c r="T122" s="42"/>
      <c r="U122" s="41">
        <v>0</v>
      </c>
      <c r="V122" s="44">
        <v>1281570.8044</v>
      </c>
      <c r="W122" s="25"/>
      <c r="X122" s="46"/>
    </row>
    <row r="123" spans="2:24" ht="18.75" customHeight="1" x14ac:dyDescent="0.25">
      <c r="B123" s="45">
        <v>14</v>
      </c>
      <c r="C123" s="45"/>
      <c r="D123" s="41">
        <v>403364</v>
      </c>
      <c r="E123" s="41">
        <v>52639</v>
      </c>
      <c r="F123" s="41">
        <v>0</v>
      </c>
      <c r="G123" s="41">
        <v>0</v>
      </c>
      <c r="H123" s="41">
        <v>0</v>
      </c>
      <c r="I123" s="41">
        <v>394403</v>
      </c>
      <c r="J123" s="41">
        <v>19642</v>
      </c>
      <c r="K123" s="41">
        <v>50223</v>
      </c>
      <c r="L123" s="41">
        <v>0</v>
      </c>
      <c r="M123" s="42">
        <v>0.15</v>
      </c>
      <c r="N123" s="41">
        <v>119665</v>
      </c>
      <c r="O123" s="43">
        <v>7.5999999999999998E-2</v>
      </c>
      <c r="P123" s="41">
        <v>60630</v>
      </c>
      <c r="Q123" s="42">
        <v>0.08</v>
      </c>
      <c r="R123" s="41">
        <v>63821.36</v>
      </c>
      <c r="S123" s="41">
        <v>50043.853799999997</v>
      </c>
      <c r="T123" s="42"/>
      <c r="U123" s="41">
        <v>0</v>
      </c>
      <c r="V123" s="44">
        <v>1214431.2138</v>
      </c>
      <c r="W123" s="25"/>
      <c r="X123" s="46"/>
    </row>
    <row r="124" spans="2:24" ht="18.75" customHeight="1" x14ac:dyDescent="0.25">
      <c r="B124" s="45">
        <v>15</v>
      </c>
      <c r="C124" s="45"/>
      <c r="D124" s="41">
        <v>373512</v>
      </c>
      <c r="E124" s="41">
        <v>48743</v>
      </c>
      <c r="F124" s="41">
        <v>0</v>
      </c>
      <c r="G124" s="41">
        <v>0</v>
      </c>
      <c r="H124" s="41">
        <v>0</v>
      </c>
      <c r="I124" s="41">
        <v>380873</v>
      </c>
      <c r="J124" s="41">
        <v>19880</v>
      </c>
      <c r="K124" s="41">
        <v>50807</v>
      </c>
      <c r="L124" s="41">
        <v>0</v>
      </c>
      <c r="M124" s="42">
        <v>0.15</v>
      </c>
      <c r="N124" s="41">
        <v>113158</v>
      </c>
      <c r="O124" s="43">
        <v>7.5999999999999998E-2</v>
      </c>
      <c r="P124" s="41">
        <v>57333</v>
      </c>
      <c r="Q124" s="42">
        <v>0.08</v>
      </c>
      <c r="R124" s="41">
        <v>60350.8</v>
      </c>
      <c r="S124" s="41">
        <v>47322.568999999996</v>
      </c>
      <c r="T124" s="42"/>
      <c r="U124" s="41">
        <v>0</v>
      </c>
      <c r="V124" s="44">
        <v>1151979.3689999999</v>
      </c>
      <c r="W124" s="25"/>
      <c r="X124" s="46"/>
    </row>
    <row r="125" spans="2:24" ht="18.75" customHeight="1" x14ac:dyDescent="0.25">
      <c r="B125" s="45">
        <v>16</v>
      </c>
      <c r="C125" s="45"/>
      <c r="D125" s="41">
        <v>345775</v>
      </c>
      <c r="E125" s="41">
        <v>45124</v>
      </c>
      <c r="F125" s="41">
        <v>0</v>
      </c>
      <c r="G125" s="41">
        <v>0</v>
      </c>
      <c r="H125" s="41">
        <v>0</v>
      </c>
      <c r="I125" s="41">
        <v>361905</v>
      </c>
      <c r="J125" s="41">
        <v>18388</v>
      </c>
      <c r="K125" s="41">
        <v>47149</v>
      </c>
      <c r="L125" s="41">
        <v>0</v>
      </c>
      <c r="M125" s="42">
        <v>0.15</v>
      </c>
      <c r="N125" s="41">
        <v>106152</v>
      </c>
      <c r="O125" s="43">
        <v>7.5999999999999998E-2</v>
      </c>
      <c r="P125" s="41">
        <v>53784</v>
      </c>
      <c r="Q125" s="42">
        <v>0.08</v>
      </c>
      <c r="R125" s="41">
        <v>56614.400000000001</v>
      </c>
      <c r="S125" s="41">
        <v>44392.831999999995</v>
      </c>
      <c r="T125" s="42"/>
      <c r="U125" s="41">
        <v>0</v>
      </c>
      <c r="V125" s="44">
        <v>1079284.2319999998</v>
      </c>
      <c r="W125" s="25"/>
      <c r="X125" s="46"/>
    </row>
    <row r="126" spans="2:24" ht="18.75" customHeight="1" x14ac:dyDescent="0.25">
      <c r="B126" s="45">
        <v>17</v>
      </c>
      <c r="C126" s="45"/>
      <c r="D126" s="41">
        <v>320172</v>
      </c>
      <c r="E126" s="41">
        <v>41782</v>
      </c>
      <c r="F126" s="41">
        <v>0</v>
      </c>
      <c r="G126" s="41">
        <v>0</v>
      </c>
      <c r="H126" s="41">
        <v>0</v>
      </c>
      <c r="I126" s="41">
        <v>355925</v>
      </c>
      <c r="J126" s="41">
        <v>17142</v>
      </c>
      <c r="K126" s="41">
        <v>44133</v>
      </c>
      <c r="L126" s="41">
        <v>0</v>
      </c>
      <c r="M126" s="42">
        <v>0.15</v>
      </c>
      <c r="N126" s="41">
        <v>101415</v>
      </c>
      <c r="O126" s="43">
        <v>7.5999999999999998E-2</v>
      </c>
      <c r="P126" s="41">
        <v>51383</v>
      </c>
      <c r="Q126" s="42">
        <v>0.08</v>
      </c>
      <c r="R126" s="41">
        <v>54087.76</v>
      </c>
      <c r="S126" s="41">
        <v>42411.580799999996</v>
      </c>
      <c r="T126" s="42"/>
      <c r="U126" s="41">
        <v>0</v>
      </c>
      <c r="V126" s="44">
        <v>1028451.3408</v>
      </c>
      <c r="W126" s="25"/>
      <c r="X126" s="46"/>
    </row>
    <row r="127" spans="2:24" ht="18.75" customHeight="1" x14ac:dyDescent="0.25">
      <c r="B127" s="45">
        <v>18</v>
      </c>
      <c r="C127" s="45"/>
      <c r="D127" s="41">
        <v>296465</v>
      </c>
      <c r="E127" s="41">
        <v>38689</v>
      </c>
      <c r="F127" s="41">
        <v>0</v>
      </c>
      <c r="G127" s="41">
        <v>0</v>
      </c>
      <c r="H127" s="41">
        <v>0</v>
      </c>
      <c r="I127" s="41">
        <v>347482</v>
      </c>
      <c r="J127" s="41">
        <v>17741</v>
      </c>
      <c r="K127" s="41">
        <v>45568</v>
      </c>
      <c r="L127" s="41">
        <v>0</v>
      </c>
      <c r="M127" s="42">
        <v>0.15</v>
      </c>
      <c r="N127" s="41">
        <v>96592</v>
      </c>
      <c r="O127" s="43">
        <v>7.5999999999999998E-2</v>
      </c>
      <c r="P127" s="41">
        <v>48940</v>
      </c>
      <c r="Q127" s="42">
        <v>0.08</v>
      </c>
      <c r="R127" s="41">
        <v>51515.76</v>
      </c>
      <c r="S127" s="41">
        <v>40394.790800000002</v>
      </c>
      <c r="T127" s="42"/>
      <c r="U127" s="41">
        <v>0</v>
      </c>
      <c r="V127" s="44">
        <v>983387.55079999997</v>
      </c>
      <c r="W127" s="25"/>
      <c r="X127" s="46"/>
    </row>
    <row r="128" spans="2:24" ht="18.75" customHeight="1" x14ac:dyDescent="0.25">
      <c r="B128" s="45">
        <v>19</v>
      </c>
      <c r="C128" s="45"/>
      <c r="D128" s="41">
        <v>277079</v>
      </c>
      <c r="E128" s="41">
        <v>36159</v>
      </c>
      <c r="F128" s="41">
        <v>0</v>
      </c>
      <c r="G128" s="41">
        <v>0</v>
      </c>
      <c r="H128" s="41">
        <v>0</v>
      </c>
      <c r="I128" s="41">
        <v>337931</v>
      </c>
      <c r="J128" s="41">
        <v>18268</v>
      </c>
      <c r="K128" s="41">
        <v>46575</v>
      </c>
      <c r="L128" s="41">
        <v>0</v>
      </c>
      <c r="M128" s="42">
        <v>0.15</v>
      </c>
      <c r="N128" s="41">
        <v>92252</v>
      </c>
      <c r="O128" s="43">
        <v>7.5999999999999998E-2</v>
      </c>
      <c r="P128" s="41">
        <v>46741</v>
      </c>
      <c r="Q128" s="42">
        <v>0.08</v>
      </c>
      <c r="R128" s="41">
        <v>49200.800000000003</v>
      </c>
      <c r="S128" s="41">
        <v>38579.728999999992</v>
      </c>
      <c r="T128" s="42"/>
      <c r="U128" s="41">
        <v>0</v>
      </c>
      <c r="V128" s="44">
        <v>942785.52899999998</v>
      </c>
      <c r="W128" s="25"/>
      <c r="X128" s="46"/>
    </row>
    <row r="129" spans="2:24" ht="18.75" customHeight="1" x14ac:dyDescent="0.25">
      <c r="B129" s="45">
        <v>20</v>
      </c>
      <c r="C129" s="45"/>
      <c r="D129" s="41">
        <v>258964</v>
      </c>
      <c r="E129" s="41">
        <v>33795</v>
      </c>
      <c r="F129" s="41">
        <v>0</v>
      </c>
      <c r="G129" s="41">
        <v>0</v>
      </c>
      <c r="H129" s="41">
        <v>0</v>
      </c>
      <c r="I129" s="41">
        <v>319627</v>
      </c>
      <c r="J129" s="41">
        <v>16940</v>
      </c>
      <c r="K129" s="41">
        <v>43387</v>
      </c>
      <c r="L129" s="41">
        <v>0</v>
      </c>
      <c r="M129" s="42">
        <v>0.15</v>
      </c>
      <c r="N129" s="41">
        <v>86789</v>
      </c>
      <c r="O129" s="43">
        <v>7.5999999999999998E-2</v>
      </c>
      <c r="P129" s="41">
        <v>43973</v>
      </c>
      <c r="Q129" s="42">
        <v>0.08</v>
      </c>
      <c r="R129" s="41">
        <v>46287.28</v>
      </c>
      <c r="S129" s="41">
        <v>36295.102399999996</v>
      </c>
      <c r="T129" s="42"/>
      <c r="U129" s="41">
        <v>0</v>
      </c>
      <c r="V129" s="44">
        <v>886057.3824</v>
      </c>
      <c r="W129" s="25"/>
      <c r="X129" s="46"/>
    </row>
    <row r="130" spans="2:24" ht="18.75" customHeight="1" x14ac:dyDescent="0.25">
      <c r="B130" s="45">
        <v>21</v>
      </c>
      <c r="C130" s="45"/>
      <c r="D130" s="41">
        <v>241999</v>
      </c>
      <c r="E130" s="41">
        <v>31581</v>
      </c>
      <c r="F130" s="41">
        <v>0</v>
      </c>
      <c r="G130" s="41">
        <v>0</v>
      </c>
      <c r="H130" s="41">
        <v>0</v>
      </c>
      <c r="I130" s="41">
        <v>306454</v>
      </c>
      <c r="J130" s="41">
        <v>16030</v>
      </c>
      <c r="K130" s="41">
        <v>41164</v>
      </c>
      <c r="L130" s="41">
        <v>0</v>
      </c>
      <c r="M130" s="42">
        <v>0.15</v>
      </c>
      <c r="N130" s="41">
        <v>82268</v>
      </c>
      <c r="O130" s="43">
        <v>7.5999999999999998E-2</v>
      </c>
      <c r="P130" s="41">
        <v>41682</v>
      </c>
      <c r="Q130" s="42">
        <v>0.08</v>
      </c>
      <c r="R130" s="41">
        <v>43876.24</v>
      </c>
      <c r="S130" s="41">
        <v>34404.379199999996</v>
      </c>
      <c r="T130" s="42"/>
      <c r="U130" s="41">
        <v>0</v>
      </c>
      <c r="V130" s="44">
        <v>839458.61919999996</v>
      </c>
      <c r="W130" s="25"/>
      <c r="X130" s="46"/>
    </row>
    <row r="131" spans="2:24" ht="18.75" customHeight="1" x14ac:dyDescent="0.25">
      <c r="B131" s="45">
        <v>22</v>
      </c>
      <c r="C131" s="45"/>
      <c r="D131" s="41">
        <v>226185</v>
      </c>
      <c r="E131" s="41">
        <v>29517</v>
      </c>
      <c r="F131" s="41">
        <v>0</v>
      </c>
      <c r="G131" s="41">
        <v>0</v>
      </c>
      <c r="H131" s="41">
        <v>0</v>
      </c>
      <c r="I131" s="41">
        <v>282158</v>
      </c>
      <c r="J131" s="41">
        <v>12520</v>
      </c>
      <c r="K131" s="41">
        <v>31999</v>
      </c>
      <c r="L131" s="41">
        <v>16044</v>
      </c>
      <c r="M131" s="42">
        <v>0.15</v>
      </c>
      <c r="N131" s="41">
        <v>76251</v>
      </c>
      <c r="O131" s="43">
        <v>7.5999999999999998E-2</v>
      </c>
      <c r="P131" s="41">
        <v>38634</v>
      </c>
      <c r="Q131" s="42">
        <v>0.08</v>
      </c>
      <c r="R131" s="41">
        <v>40667.440000000002</v>
      </c>
      <c r="S131" s="41">
        <v>31888.250199999999</v>
      </c>
      <c r="T131" s="42"/>
      <c r="U131" s="41">
        <v>0</v>
      </c>
      <c r="V131" s="44">
        <v>785863.69020000007</v>
      </c>
      <c r="W131" s="25"/>
      <c r="X131" s="46"/>
    </row>
    <row r="132" spans="2:24" ht="18.75" customHeight="1" x14ac:dyDescent="0.25">
      <c r="B132" s="45">
        <v>23</v>
      </c>
      <c r="C132" s="45"/>
      <c r="D132" s="41">
        <v>211386</v>
      </c>
      <c r="E132" s="41">
        <v>27586</v>
      </c>
      <c r="F132" s="41">
        <v>0</v>
      </c>
      <c r="G132" s="41">
        <v>0</v>
      </c>
      <c r="H132" s="41">
        <v>0</v>
      </c>
      <c r="I132" s="41">
        <v>253083</v>
      </c>
      <c r="J132" s="41">
        <v>11858</v>
      </c>
      <c r="K132" s="41">
        <v>30453</v>
      </c>
      <c r="L132" s="41">
        <v>64057</v>
      </c>
      <c r="M132" s="42">
        <v>0.15</v>
      </c>
      <c r="N132" s="41">
        <v>69670</v>
      </c>
      <c r="O132" s="43">
        <v>7.5999999999999998E-2</v>
      </c>
      <c r="P132" s="41">
        <v>35300</v>
      </c>
      <c r="Q132" s="42">
        <v>0.08</v>
      </c>
      <c r="R132" s="41">
        <v>37157.520000000004</v>
      </c>
      <c r="S132" s="41">
        <v>29136.141600000003</v>
      </c>
      <c r="T132" s="42"/>
      <c r="U132" s="41">
        <v>0</v>
      </c>
      <c r="V132" s="44">
        <v>769686.66159999999</v>
      </c>
      <c r="W132" s="25"/>
      <c r="X132" s="46"/>
    </row>
    <row r="133" spans="2:24" ht="18.75" customHeight="1" x14ac:dyDescent="0.25">
      <c r="B133" s="45">
        <v>24</v>
      </c>
      <c r="C133" s="45"/>
      <c r="D133" s="41">
        <v>197541</v>
      </c>
      <c r="E133" s="41">
        <v>25779</v>
      </c>
      <c r="F133" s="41">
        <v>0</v>
      </c>
      <c r="G133" s="41">
        <v>0</v>
      </c>
      <c r="H133" s="41">
        <v>0</v>
      </c>
      <c r="I133" s="41">
        <v>230735</v>
      </c>
      <c r="J133" s="41">
        <v>11298</v>
      </c>
      <c r="K133" s="41">
        <v>29082</v>
      </c>
      <c r="L133" s="41">
        <v>103988</v>
      </c>
      <c r="M133" s="42">
        <v>0.15</v>
      </c>
      <c r="N133" s="41">
        <v>64241</v>
      </c>
      <c r="O133" s="43">
        <v>7.5999999999999998E-2</v>
      </c>
      <c r="P133" s="41">
        <v>32549</v>
      </c>
      <c r="Q133" s="42">
        <v>0.08</v>
      </c>
      <c r="R133" s="41">
        <v>34262.080000000002</v>
      </c>
      <c r="S133" s="41">
        <v>26865.6764</v>
      </c>
      <c r="T133" s="42"/>
      <c r="U133" s="41">
        <v>0</v>
      </c>
      <c r="V133" s="44">
        <v>756340.75640000007</v>
      </c>
      <c r="W133" s="25"/>
      <c r="X133" s="46"/>
    </row>
    <row r="134" spans="2:24" ht="18.75" customHeight="1" x14ac:dyDescent="0.25">
      <c r="B134" s="45">
        <v>25</v>
      </c>
      <c r="C134" s="45"/>
      <c r="D134" s="41">
        <v>184626</v>
      </c>
      <c r="E134" s="41">
        <v>24094</v>
      </c>
      <c r="F134" s="41">
        <v>0</v>
      </c>
      <c r="G134" s="41">
        <v>0</v>
      </c>
      <c r="H134" s="41">
        <v>0</v>
      </c>
      <c r="I134" s="41">
        <v>223339</v>
      </c>
      <c r="J134" s="41">
        <v>10189</v>
      </c>
      <c r="K134" s="41">
        <v>26024</v>
      </c>
      <c r="L134" s="41">
        <v>130151</v>
      </c>
      <c r="M134" s="42">
        <v>0.15</v>
      </c>
      <c r="N134" s="41">
        <v>61195</v>
      </c>
      <c r="O134" s="43">
        <v>7.5999999999999998E-2</v>
      </c>
      <c r="P134" s="41">
        <v>31005</v>
      </c>
      <c r="Q134" s="42">
        <v>0.08</v>
      </c>
      <c r="R134" s="41">
        <v>32637.200000000001</v>
      </c>
      <c r="S134" s="41">
        <v>25591.625999999997</v>
      </c>
      <c r="T134" s="42"/>
      <c r="U134" s="41">
        <v>0</v>
      </c>
      <c r="V134" s="44">
        <v>748851.826</v>
      </c>
      <c r="W134" s="25"/>
      <c r="X134" s="46"/>
    </row>
    <row r="135" spans="2:24" ht="18.75" customHeight="1" x14ac:dyDescent="0.25">
      <c r="B135"/>
      <c r="C135"/>
      <c r="O135"/>
      <c r="W135" s="25"/>
      <c r="X135" s="46"/>
    </row>
    <row r="136" spans="2:24" ht="18.75" customHeight="1" x14ac:dyDescent="0.25">
      <c r="B136" s="51" t="s">
        <v>517</v>
      </c>
      <c r="C136" s="51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46"/>
    </row>
    <row r="137" spans="2:24" ht="18.75" customHeight="1" x14ac:dyDescent="0.25">
      <c r="B137" s="45">
        <v>16</v>
      </c>
      <c r="C137" s="45"/>
      <c r="D137" s="41">
        <v>345775</v>
      </c>
      <c r="E137" s="41">
        <v>45124</v>
      </c>
      <c r="F137" s="41">
        <v>0</v>
      </c>
      <c r="G137" s="41">
        <v>0</v>
      </c>
      <c r="H137" s="41">
        <v>0</v>
      </c>
      <c r="I137" s="41">
        <v>361905</v>
      </c>
      <c r="J137" s="41">
        <v>18388</v>
      </c>
      <c r="K137" s="41">
        <v>47149</v>
      </c>
      <c r="L137" s="41">
        <v>0</v>
      </c>
      <c r="M137" s="42">
        <v>0.15</v>
      </c>
      <c r="N137" s="41">
        <v>106152</v>
      </c>
      <c r="O137" s="43">
        <v>7.5999999999999998E-2</v>
      </c>
      <c r="P137" s="41">
        <v>53784</v>
      </c>
      <c r="Q137" s="42">
        <v>0.08</v>
      </c>
      <c r="R137" s="41">
        <v>56614.400000000001</v>
      </c>
      <c r="S137" s="41">
        <v>44392.831999999995</v>
      </c>
      <c r="T137" s="42"/>
      <c r="U137" s="41">
        <v>0</v>
      </c>
      <c r="V137" s="44">
        <v>1079284.2319999998</v>
      </c>
      <c r="W137" s="25"/>
      <c r="X137" s="46"/>
    </row>
    <row r="138" spans="2:24" ht="18.75" customHeight="1" x14ac:dyDescent="0.25">
      <c r="B138" s="45">
        <v>17</v>
      </c>
      <c r="C138" s="45"/>
      <c r="D138" s="41">
        <v>320172</v>
      </c>
      <c r="E138" s="41">
        <v>41782</v>
      </c>
      <c r="F138" s="41">
        <v>0</v>
      </c>
      <c r="G138" s="41">
        <v>0</v>
      </c>
      <c r="H138" s="41">
        <v>0</v>
      </c>
      <c r="I138" s="41">
        <v>355925</v>
      </c>
      <c r="J138" s="41">
        <v>17142</v>
      </c>
      <c r="K138" s="41">
        <v>44133</v>
      </c>
      <c r="L138" s="41">
        <v>0</v>
      </c>
      <c r="M138" s="42">
        <v>0.15</v>
      </c>
      <c r="N138" s="41">
        <v>101415</v>
      </c>
      <c r="O138" s="43">
        <v>7.5999999999999998E-2</v>
      </c>
      <c r="P138" s="41">
        <v>51383</v>
      </c>
      <c r="Q138" s="42">
        <v>0.08</v>
      </c>
      <c r="R138" s="41">
        <v>54087.76</v>
      </c>
      <c r="S138" s="41">
        <v>42411.580799999996</v>
      </c>
      <c r="T138" s="42"/>
      <c r="U138" s="41">
        <v>0</v>
      </c>
      <c r="V138" s="44">
        <v>1028451.3408</v>
      </c>
      <c r="W138" s="25"/>
      <c r="X138" s="46"/>
    </row>
    <row r="139" spans="2:24" ht="18.75" customHeight="1" x14ac:dyDescent="0.25">
      <c r="B139" s="45">
        <v>18</v>
      </c>
      <c r="C139" s="45"/>
      <c r="D139" s="41">
        <v>296465</v>
      </c>
      <c r="E139" s="41">
        <v>38689</v>
      </c>
      <c r="F139" s="41">
        <v>0</v>
      </c>
      <c r="G139" s="41">
        <v>0</v>
      </c>
      <c r="H139" s="41">
        <v>0</v>
      </c>
      <c r="I139" s="41">
        <v>347482</v>
      </c>
      <c r="J139" s="41">
        <v>17741</v>
      </c>
      <c r="K139" s="41">
        <v>45568</v>
      </c>
      <c r="L139" s="41">
        <v>0</v>
      </c>
      <c r="M139" s="42">
        <v>0.15</v>
      </c>
      <c r="N139" s="41">
        <v>96592</v>
      </c>
      <c r="O139" s="43">
        <v>7.5999999999999998E-2</v>
      </c>
      <c r="P139" s="41">
        <v>48940</v>
      </c>
      <c r="Q139" s="42">
        <v>0.08</v>
      </c>
      <c r="R139" s="41">
        <v>51515.76</v>
      </c>
      <c r="S139" s="41">
        <v>40394.790800000002</v>
      </c>
      <c r="T139" s="42"/>
      <c r="U139" s="41">
        <v>0</v>
      </c>
      <c r="V139" s="44">
        <v>983387.55079999997</v>
      </c>
      <c r="W139" s="25"/>
      <c r="X139" s="46"/>
    </row>
    <row r="140" spans="2:24" ht="18.75" customHeight="1" x14ac:dyDescent="0.25">
      <c r="B140" s="45">
        <v>19</v>
      </c>
      <c r="C140" s="45"/>
      <c r="D140" s="41">
        <v>277079</v>
      </c>
      <c r="E140" s="41">
        <v>36159</v>
      </c>
      <c r="F140" s="41">
        <v>0</v>
      </c>
      <c r="G140" s="41">
        <v>0</v>
      </c>
      <c r="H140" s="41">
        <v>0</v>
      </c>
      <c r="I140" s="41">
        <v>337931</v>
      </c>
      <c r="J140" s="41">
        <v>18268</v>
      </c>
      <c r="K140" s="41">
        <v>46575</v>
      </c>
      <c r="L140" s="41">
        <v>0</v>
      </c>
      <c r="M140" s="42">
        <v>0.15</v>
      </c>
      <c r="N140" s="41">
        <v>92252</v>
      </c>
      <c r="O140" s="43">
        <v>7.5999999999999998E-2</v>
      </c>
      <c r="P140" s="41">
        <v>46741</v>
      </c>
      <c r="Q140" s="42">
        <v>0.08</v>
      </c>
      <c r="R140" s="41">
        <v>49200.800000000003</v>
      </c>
      <c r="S140" s="41">
        <v>38579.728999999992</v>
      </c>
      <c r="T140" s="42"/>
      <c r="U140" s="41">
        <v>0</v>
      </c>
      <c r="V140" s="44">
        <v>942785.52899999998</v>
      </c>
      <c r="W140" s="25"/>
      <c r="X140" s="46"/>
    </row>
    <row r="141" spans="2:24" ht="18.75" customHeight="1" x14ac:dyDescent="0.25">
      <c r="B141" s="45">
        <v>20</v>
      </c>
      <c r="C141" s="45"/>
      <c r="D141" s="41">
        <v>258964</v>
      </c>
      <c r="E141" s="41">
        <v>33795</v>
      </c>
      <c r="F141" s="41">
        <v>0</v>
      </c>
      <c r="G141" s="41">
        <v>0</v>
      </c>
      <c r="H141" s="41">
        <v>0</v>
      </c>
      <c r="I141" s="41">
        <v>319627</v>
      </c>
      <c r="J141" s="41">
        <v>16940</v>
      </c>
      <c r="K141" s="41">
        <v>43387</v>
      </c>
      <c r="L141" s="41">
        <v>0</v>
      </c>
      <c r="M141" s="42">
        <v>0.15</v>
      </c>
      <c r="N141" s="41">
        <v>86789</v>
      </c>
      <c r="O141" s="43">
        <v>7.5999999999999998E-2</v>
      </c>
      <c r="P141" s="41">
        <v>43973</v>
      </c>
      <c r="Q141" s="42">
        <v>0.08</v>
      </c>
      <c r="R141" s="41">
        <v>46287.28</v>
      </c>
      <c r="S141" s="41">
        <v>36295.102399999996</v>
      </c>
      <c r="T141" s="42"/>
      <c r="U141" s="41">
        <v>0</v>
      </c>
      <c r="V141" s="44">
        <v>886057.3824</v>
      </c>
      <c r="W141" s="25"/>
      <c r="X141" s="46"/>
    </row>
    <row r="142" spans="2:24" ht="18.75" customHeight="1" x14ac:dyDescent="0.25">
      <c r="B142" s="45">
        <v>21</v>
      </c>
      <c r="C142" s="45"/>
      <c r="D142" s="41">
        <v>241999</v>
      </c>
      <c r="E142" s="41">
        <v>31581</v>
      </c>
      <c r="F142" s="41">
        <v>0</v>
      </c>
      <c r="G142" s="41">
        <v>0</v>
      </c>
      <c r="H142" s="41">
        <v>0</v>
      </c>
      <c r="I142" s="41">
        <v>306454</v>
      </c>
      <c r="J142" s="41">
        <v>16030</v>
      </c>
      <c r="K142" s="41">
        <v>41164</v>
      </c>
      <c r="L142" s="41">
        <v>0</v>
      </c>
      <c r="M142" s="42">
        <v>0.15</v>
      </c>
      <c r="N142" s="41">
        <v>82268</v>
      </c>
      <c r="O142" s="43">
        <v>7.5999999999999998E-2</v>
      </c>
      <c r="P142" s="41">
        <v>41682</v>
      </c>
      <c r="Q142" s="42">
        <v>0.08</v>
      </c>
      <c r="R142" s="41">
        <v>43876.24</v>
      </c>
      <c r="S142" s="41">
        <v>34404.379199999996</v>
      </c>
      <c r="T142" s="42"/>
      <c r="U142" s="41">
        <v>0</v>
      </c>
      <c r="V142" s="44">
        <v>839458.61919999996</v>
      </c>
      <c r="W142" s="25"/>
      <c r="X142" s="46"/>
    </row>
    <row r="143" spans="2:24" ht="18.75" customHeight="1" x14ac:dyDescent="0.25">
      <c r="B143" s="45">
        <v>22</v>
      </c>
      <c r="C143" s="45"/>
      <c r="D143" s="41">
        <v>226185</v>
      </c>
      <c r="E143" s="41">
        <v>29517</v>
      </c>
      <c r="F143" s="41">
        <v>0</v>
      </c>
      <c r="G143" s="41">
        <v>0</v>
      </c>
      <c r="H143" s="41">
        <v>0</v>
      </c>
      <c r="I143" s="41">
        <v>282158</v>
      </c>
      <c r="J143" s="41">
        <v>12520</v>
      </c>
      <c r="K143" s="41">
        <v>31999</v>
      </c>
      <c r="L143" s="41">
        <v>0</v>
      </c>
      <c r="M143" s="42">
        <v>0.15</v>
      </c>
      <c r="N143" s="41">
        <v>76251</v>
      </c>
      <c r="O143" s="43">
        <v>7.5999999999999998E-2</v>
      </c>
      <c r="P143" s="41">
        <v>38634</v>
      </c>
      <c r="Q143" s="42">
        <v>0.08</v>
      </c>
      <c r="R143" s="41">
        <v>40667.440000000002</v>
      </c>
      <c r="S143" s="41">
        <v>31888.250199999999</v>
      </c>
      <c r="T143" s="42"/>
      <c r="U143" s="41">
        <v>0</v>
      </c>
      <c r="V143" s="44">
        <v>769819.69020000007</v>
      </c>
      <c r="W143" s="25"/>
      <c r="X143" s="46"/>
    </row>
    <row r="144" spans="2:24" ht="18.75" customHeight="1" x14ac:dyDescent="0.25">
      <c r="B144" s="45">
        <v>23</v>
      </c>
      <c r="C144" s="45"/>
      <c r="D144" s="41">
        <v>211386</v>
      </c>
      <c r="E144" s="41">
        <v>27586</v>
      </c>
      <c r="F144" s="41">
        <v>0</v>
      </c>
      <c r="G144" s="41">
        <v>0</v>
      </c>
      <c r="H144" s="41">
        <v>0</v>
      </c>
      <c r="I144" s="41">
        <v>253083</v>
      </c>
      <c r="J144" s="41">
        <v>11858</v>
      </c>
      <c r="K144" s="41">
        <v>30453</v>
      </c>
      <c r="L144" s="41">
        <v>3346</v>
      </c>
      <c r="M144" s="42">
        <v>0.15</v>
      </c>
      <c r="N144" s="41">
        <v>69670</v>
      </c>
      <c r="O144" s="43">
        <v>7.5999999999999998E-2</v>
      </c>
      <c r="P144" s="41">
        <v>35300</v>
      </c>
      <c r="Q144" s="42">
        <v>0.08</v>
      </c>
      <c r="R144" s="41">
        <v>37157.520000000004</v>
      </c>
      <c r="S144" s="41">
        <v>29136.141600000003</v>
      </c>
      <c r="T144" s="42"/>
      <c r="U144" s="41">
        <v>0</v>
      </c>
      <c r="V144" s="44">
        <v>708975.66159999999</v>
      </c>
      <c r="W144" s="25"/>
      <c r="X144" s="46"/>
    </row>
    <row r="145" spans="2:24" ht="18.75" customHeight="1" x14ac:dyDescent="0.25">
      <c r="B145" s="45">
        <v>24</v>
      </c>
      <c r="C145" s="45"/>
      <c r="D145" s="41">
        <v>197541</v>
      </c>
      <c r="E145" s="41">
        <v>25779</v>
      </c>
      <c r="F145" s="41">
        <v>0</v>
      </c>
      <c r="G145" s="41">
        <v>0</v>
      </c>
      <c r="H145" s="41">
        <v>0</v>
      </c>
      <c r="I145" s="41">
        <v>230735</v>
      </c>
      <c r="J145" s="41">
        <v>11298</v>
      </c>
      <c r="K145" s="41">
        <v>29082</v>
      </c>
      <c r="L145" s="41">
        <v>43277</v>
      </c>
      <c r="M145" s="42">
        <v>0.15</v>
      </c>
      <c r="N145" s="41">
        <v>64241</v>
      </c>
      <c r="O145" s="43">
        <v>7.5999999999999998E-2</v>
      </c>
      <c r="P145" s="41">
        <v>32549</v>
      </c>
      <c r="Q145" s="42">
        <v>0.08</v>
      </c>
      <c r="R145" s="41">
        <v>34262.080000000002</v>
      </c>
      <c r="S145" s="41">
        <v>26865.6764</v>
      </c>
      <c r="T145" s="42"/>
      <c r="U145" s="41">
        <v>0</v>
      </c>
      <c r="V145" s="44">
        <v>695629.75640000007</v>
      </c>
      <c r="W145" s="25"/>
      <c r="X145" s="46"/>
    </row>
    <row r="146" spans="2:24" ht="18.75" customHeight="1" x14ac:dyDescent="0.25">
      <c r="B146" s="45">
        <v>25</v>
      </c>
      <c r="C146" s="45"/>
      <c r="D146" s="41">
        <v>184626</v>
      </c>
      <c r="E146" s="41">
        <v>24094</v>
      </c>
      <c r="F146" s="41">
        <v>0</v>
      </c>
      <c r="G146" s="41">
        <v>0</v>
      </c>
      <c r="H146" s="41">
        <v>0</v>
      </c>
      <c r="I146" s="41">
        <v>223339</v>
      </c>
      <c r="J146" s="41">
        <v>10189</v>
      </c>
      <c r="K146" s="41">
        <v>26024</v>
      </c>
      <c r="L146" s="41">
        <v>69440</v>
      </c>
      <c r="M146" s="42">
        <v>0.15</v>
      </c>
      <c r="N146" s="41">
        <v>61195</v>
      </c>
      <c r="O146" s="43">
        <v>7.5999999999999998E-2</v>
      </c>
      <c r="P146" s="41">
        <v>31005</v>
      </c>
      <c r="Q146" s="42">
        <v>0.08</v>
      </c>
      <c r="R146" s="41">
        <v>32637.200000000001</v>
      </c>
      <c r="S146" s="41">
        <v>25591.625999999997</v>
      </c>
      <c r="T146" s="42"/>
      <c r="U146" s="41">
        <v>0</v>
      </c>
      <c r="V146" s="44">
        <v>688140.826</v>
      </c>
      <c r="W146" s="25"/>
      <c r="X146" s="46"/>
    </row>
    <row r="147" spans="2:24" ht="18.75" customHeight="1" x14ac:dyDescent="0.25">
      <c r="B147" s="45">
        <v>26</v>
      </c>
      <c r="C147" s="45"/>
      <c r="D147" s="41">
        <v>172455</v>
      </c>
      <c r="E147" s="41">
        <v>22505</v>
      </c>
      <c r="F147" s="41">
        <v>0</v>
      </c>
      <c r="G147" s="41">
        <v>0</v>
      </c>
      <c r="H147" s="41">
        <v>0</v>
      </c>
      <c r="I147" s="41">
        <v>208323</v>
      </c>
      <c r="J147" s="41">
        <v>9698</v>
      </c>
      <c r="K147" s="41">
        <v>24871</v>
      </c>
      <c r="L147" s="41">
        <v>99860</v>
      </c>
      <c r="M147" s="42">
        <v>0.15</v>
      </c>
      <c r="N147" s="41">
        <v>57117</v>
      </c>
      <c r="O147" s="43">
        <v>7.5999999999999998E-2</v>
      </c>
      <c r="P147" s="41">
        <v>28939</v>
      </c>
      <c r="Q147" s="42">
        <v>0.08</v>
      </c>
      <c r="R147" s="41">
        <v>30462.240000000002</v>
      </c>
      <c r="S147" s="41">
        <v>23886.2392</v>
      </c>
      <c r="T147" s="42"/>
      <c r="U147" s="41">
        <v>0</v>
      </c>
      <c r="V147" s="44">
        <v>678116.47919999994</v>
      </c>
      <c r="W147" s="25"/>
      <c r="X147" s="46"/>
    </row>
    <row r="148" spans="2:24" ht="18.75" customHeight="1" x14ac:dyDescent="0.25">
      <c r="B148" s="45">
        <v>27</v>
      </c>
      <c r="C148" s="45"/>
      <c r="D148" s="41">
        <v>161170</v>
      </c>
      <c r="E148" s="41">
        <v>21033</v>
      </c>
      <c r="F148" s="41">
        <v>0</v>
      </c>
      <c r="G148" s="41">
        <v>0</v>
      </c>
      <c r="H148" s="41">
        <v>0</v>
      </c>
      <c r="I148" s="41">
        <v>198943</v>
      </c>
      <c r="J148" s="41">
        <v>7966</v>
      </c>
      <c r="K148" s="41">
        <v>20550</v>
      </c>
      <c r="L148" s="41">
        <v>128050</v>
      </c>
      <c r="M148" s="42">
        <v>0.15</v>
      </c>
      <c r="N148" s="41">
        <v>54017</v>
      </c>
      <c r="O148" s="43">
        <v>7.5999999999999998E-2</v>
      </c>
      <c r="P148" s="41">
        <v>27369</v>
      </c>
      <c r="Q148" s="42">
        <v>0.08</v>
      </c>
      <c r="R148" s="41">
        <v>28809.040000000001</v>
      </c>
      <c r="S148" s="41">
        <v>22589.983199999999</v>
      </c>
      <c r="T148" s="42"/>
      <c r="U148" s="41">
        <v>0</v>
      </c>
      <c r="V148" s="44">
        <v>670497.02319999994</v>
      </c>
      <c r="W148" s="25"/>
      <c r="X148" s="46"/>
    </row>
    <row r="149" spans="2:24" ht="18.75" customHeight="1" x14ac:dyDescent="0.25">
      <c r="B149" s="45">
        <v>28</v>
      </c>
      <c r="C149" s="45"/>
      <c r="D149" s="41">
        <v>150695</v>
      </c>
      <c r="E149" s="41">
        <v>19666</v>
      </c>
      <c r="F149" s="41">
        <v>0</v>
      </c>
      <c r="G149" s="41">
        <v>0</v>
      </c>
      <c r="H149" s="41">
        <v>0</v>
      </c>
      <c r="I149" s="41">
        <v>190601</v>
      </c>
      <c r="J149" s="41">
        <v>8024</v>
      </c>
      <c r="K149" s="41">
        <v>20581</v>
      </c>
      <c r="L149" s="41">
        <v>148145</v>
      </c>
      <c r="M149" s="42">
        <v>0.15</v>
      </c>
      <c r="N149" s="41">
        <v>51194</v>
      </c>
      <c r="O149" s="43">
        <v>7.5999999999999998E-2</v>
      </c>
      <c r="P149" s="41">
        <v>25938</v>
      </c>
      <c r="Q149" s="42">
        <v>0.08</v>
      </c>
      <c r="R149" s="41">
        <v>27303.68</v>
      </c>
      <c r="S149" s="41">
        <v>21409.314399999996</v>
      </c>
      <c r="T149" s="42"/>
      <c r="U149" s="41">
        <v>0</v>
      </c>
      <c r="V149" s="44">
        <v>663556.99439999997</v>
      </c>
      <c r="W149" s="25"/>
      <c r="X149" s="46"/>
    </row>
  </sheetData>
  <mergeCells count="9">
    <mergeCell ref="M9:N9"/>
    <mergeCell ref="O9:P9"/>
    <mergeCell ref="Q9:R9"/>
    <mergeCell ref="T9:U9"/>
    <mergeCell ref="D1:U1"/>
    <mergeCell ref="D2:U2"/>
    <mergeCell ref="D3:U3"/>
    <mergeCell ref="B4:U4"/>
    <mergeCell ref="D5:U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281" scale="56" orientation="landscape" r:id="rId1"/>
  <rowBreaks count="4" manualBreakCount="4">
    <brk id="38" min="1" max="20" man="1"/>
    <brk id="57" min="1" max="20" man="1"/>
    <brk id="80" min="1" max="20" man="1"/>
    <brk id="116" min="1" max="20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704F-A5C8-455E-879F-36667A1A0C37}">
  <sheetPr>
    <tabColor rgb="FFFF0000"/>
  </sheetPr>
  <dimension ref="A2:B9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9.5703125" customWidth="1"/>
    <col min="2" max="2" width="15" customWidth="1"/>
  </cols>
  <sheetData>
    <row r="2" spans="1:2" ht="40.5" x14ac:dyDescent="0.25">
      <c r="A2" s="26" t="s">
        <v>49</v>
      </c>
      <c r="B2" s="26" t="s">
        <v>518</v>
      </c>
    </row>
    <row r="3" spans="1:2" x14ac:dyDescent="0.25">
      <c r="A3" s="54">
        <v>2020</v>
      </c>
      <c r="B3" s="128">
        <v>1.3626019164401935</v>
      </c>
    </row>
    <row r="4" spans="1:2" x14ac:dyDescent="0.25">
      <c r="A4" s="54">
        <v>2021</v>
      </c>
      <c r="B4" s="128">
        <v>1.3036644069054133</v>
      </c>
    </row>
    <row r="5" spans="1:2" x14ac:dyDescent="0.25">
      <c r="A5" s="54">
        <v>2022</v>
      </c>
      <c r="B5" s="128">
        <v>1.1677500526840501</v>
      </c>
    </row>
    <row r="6" spans="1:2" x14ac:dyDescent="0.25">
      <c r="A6" s="54">
        <v>2023</v>
      </c>
      <c r="B6" s="128">
        <v>1.0853807351700218</v>
      </c>
    </row>
    <row r="7" spans="1:2" x14ac:dyDescent="0.25">
      <c r="A7" s="54">
        <v>2024</v>
      </c>
      <c r="B7" s="128">
        <v>1.0443801125835142</v>
      </c>
    </row>
    <row r="8" spans="1:2" x14ac:dyDescent="0.25">
      <c r="A8" s="54">
        <v>2025</v>
      </c>
      <c r="B8" s="128">
        <v>1</v>
      </c>
    </row>
    <row r="9" spans="1:2" x14ac:dyDescent="0.25">
      <c r="A9" s="103" t="s">
        <v>519</v>
      </c>
    </row>
  </sheetData>
  <phoneticPr fontId="2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394BE-D49A-40B6-A041-2D37E840171F}">
  <dimension ref="B2:C7"/>
  <sheetViews>
    <sheetView workbookViewId="0">
      <selection activeCell="C15" sqref="C15"/>
    </sheetView>
  </sheetViews>
  <sheetFormatPr baseColWidth="10" defaultColWidth="11.42578125" defaultRowHeight="15" x14ac:dyDescent="0.25"/>
  <cols>
    <col min="1" max="1" width="2.5703125" customWidth="1"/>
    <col min="2" max="2" width="37.42578125" bestFit="1" customWidth="1"/>
    <col min="3" max="3" width="20.7109375" customWidth="1"/>
  </cols>
  <sheetData>
    <row r="2" spans="2:3" x14ac:dyDescent="0.25">
      <c r="B2" s="27" t="s">
        <v>538</v>
      </c>
    </row>
    <row r="3" spans="2:3" x14ac:dyDescent="0.25">
      <c r="B3" s="55" t="s">
        <v>11</v>
      </c>
      <c r="C3" s="55" t="s">
        <v>1</v>
      </c>
    </row>
    <row r="4" spans="2:3" x14ac:dyDescent="0.25">
      <c r="B4" s="56" t="s">
        <v>12</v>
      </c>
      <c r="C4" s="102">
        <v>72807.516000000003</v>
      </c>
    </row>
    <row r="5" spans="2:3" x14ac:dyDescent="0.25">
      <c r="B5" s="56" t="s">
        <v>13</v>
      </c>
      <c r="C5" s="102">
        <v>456502.49300000002</v>
      </c>
    </row>
    <row r="6" spans="2:3" x14ac:dyDescent="0.25">
      <c r="B6" s="103" t="s">
        <v>14</v>
      </c>
    </row>
    <row r="7" spans="2:3" x14ac:dyDescent="0.25">
      <c r="B7" s="103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3143E-E65C-48EB-B937-53B460E50A3F}">
  <dimension ref="B2:I15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3.42578125" customWidth="1"/>
    <col min="2" max="2" width="37" bestFit="1" customWidth="1"/>
    <col min="3" max="3" width="26.5703125" bestFit="1" customWidth="1"/>
    <col min="4" max="4" width="28.42578125" bestFit="1" customWidth="1"/>
    <col min="5" max="5" width="33.28515625" bestFit="1" customWidth="1"/>
    <col min="9" max="9" width="74.5703125" style="103" customWidth="1"/>
  </cols>
  <sheetData>
    <row r="2" spans="2:9" x14ac:dyDescent="0.25">
      <c r="B2" s="27" t="s">
        <v>539</v>
      </c>
    </row>
    <row r="3" spans="2:9" x14ac:dyDescent="0.25">
      <c r="B3" s="100" t="s">
        <v>16</v>
      </c>
      <c r="C3" s="100" t="s">
        <v>17</v>
      </c>
      <c r="D3" s="100" t="s">
        <v>18</v>
      </c>
      <c r="E3" s="100" t="s">
        <v>19</v>
      </c>
    </row>
    <row r="4" spans="2:9" x14ac:dyDescent="0.25">
      <c r="B4" s="126" t="s">
        <v>20</v>
      </c>
      <c r="C4" s="126" t="s">
        <v>21</v>
      </c>
      <c r="D4" s="126" t="s">
        <v>22</v>
      </c>
      <c r="E4" s="127">
        <f>0.015*1600*962</f>
        <v>23088</v>
      </c>
      <c r="I4" s="106"/>
    </row>
    <row r="5" spans="2:9" x14ac:dyDescent="0.25">
      <c r="B5" s="126" t="s">
        <v>23</v>
      </c>
      <c r="C5" s="126" t="s">
        <v>21</v>
      </c>
      <c r="D5" s="126" t="s">
        <v>24</v>
      </c>
      <c r="E5" s="127">
        <f>0.02*1600*962</f>
        <v>30784</v>
      </c>
    </row>
    <row r="6" spans="2:9" x14ac:dyDescent="0.25">
      <c r="B6" s="126" t="s">
        <v>25</v>
      </c>
      <c r="C6" s="126" t="s">
        <v>26</v>
      </c>
      <c r="D6" s="126" t="s">
        <v>27</v>
      </c>
      <c r="E6" s="127">
        <f>0.025*1800*962</f>
        <v>43290</v>
      </c>
      <c r="I6" s="106"/>
    </row>
    <row r="7" spans="2:9" x14ac:dyDescent="0.25">
      <c r="B7" s="126" t="s">
        <v>5</v>
      </c>
      <c r="C7" s="126"/>
      <c r="D7" s="126"/>
      <c r="E7" s="127">
        <f>+SUM(E4:E6)</f>
        <v>97162</v>
      </c>
      <c r="I7" s="106"/>
    </row>
    <row r="8" spans="2:9" x14ac:dyDescent="0.25">
      <c r="B8" s="107" t="s">
        <v>28</v>
      </c>
      <c r="C8" s="107"/>
      <c r="D8" s="107"/>
      <c r="E8" s="107"/>
    </row>
    <row r="9" spans="2:9" x14ac:dyDescent="0.25">
      <c r="B9" s="189" t="s">
        <v>29</v>
      </c>
      <c r="C9" s="189"/>
      <c r="D9" s="189"/>
      <c r="E9" s="189"/>
      <c r="I9" s="106"/>
    </row>
    <row r="11" spans="2:9" x14ac:dyDescent="0.25">
      <c r="I11" s="106"/>
    </row>
    <row r="13" spans="2:9" x14ac:dyDescent="0.25">
      <c r="I13" s="106"/>
    </row>
    <row r="15" spans="2:9" x14ac:dyDescent="0.25">
      <c r="I15" s="106"/>
    </row>
  </sheetData>
  <mergeCells count="1">
    <mergeCell ref="B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3002-2781-48D1-83A7-C1896BCDF578}">
  <dimension ref="B3:H21"/>
  <sheetViews>
    <sheetView zoomScaleNormal="100" workbookViewId="0">
      <selection activeCell="B13" sqref="B13"/>
    </sheetView>
  </sheetViews>
  <sheetFormatPr baseColWidth="10" defaultColWidth="11.42578125" defaultRowHeight="15" x14ac:dyDescent="0.25"/>
  <cols>
    <col min="1" max="1" width="2.28515625" customWidth="1"/>
    <col min="2" max="2" width="39" bestFit="1" customWidth="1"/>
    <col min="3" max="3" width="32" bestFit="1" customWidth="1"/>
    <col min="4" max="4" width="33.140625" bestFit="1" customWidth="1"/>
    <col min="5" max="5" width="17.42578125" bestFit="1" customWidth="1"/>
    <col min="6" max="6" width="28.140625" bestFit="1" customWidth="1"/>
    <col min="7" max="7" width="46" bestFit="1" customWidth="1"/>
    <col min="8" max="8" width="20.5703125" bestFit="1" customWidth="1"/>
  </cols>
  <sheetData>
    <row r="3" spans="2:8" x14ac:dyDescent="0.25">
      <c r="B3" s="27" t="s">
        <v>540</v>
      </c>
    </row>
    <row r="4" spans="2:8" x14ac:dyDescent="0.25">
      <c r="B4" s="55" t="s">
        <v>30</v>
      </c>
      <c r="C4" s="55" t="s">
        <v>31</v>
      </c>
      <c r="D4" s="55" t="s">
        <v>32</v>
      </c>
      <c r="E4" s="55" t="s">
        <v>33</v>
      </c>
      <c r="F4" s="55" t="s">
        <v>34</v>
      </c>
      <c r="G4" s="55" t="s">
        <v>35</v>
      </c>
      <c r="H4" s="55" t="s">
        <v>36</v>
      </c>
    </row>
    <row r="5" spans="2:8" x14ac:dyDescent="0.25">
      <c r="B5" s="56" t="s">
        <v>37</v>
      </c>
      <c r="C5" s="56" t="s">
        <v>38</v>
      </c>
      <c r="D5" s="109">
        <v>64574</v>
      </c>
      <c r="E5" s="108">
        <v>3686925</v>
      </c>
      <c r="F5" s="108">
        <v>3717396</v>
      </c>
      <c r="G5" s="102">
        <v>66575.793999999994</v>
      </c>
      <c r="H5" s="102">
        <v>7441.4610084239785</v>
      </c>
    </row>
    <row r="6" spans="2:8" x14ac:dyDescent="0.25">
      <c r="B6" s="56" t="s">
        <v>39</v>
      </c>
      <c r="C6" s="56" t="s">
        <v>38</v>
      </c>
      <c r="D6" s="109">
        <v>232417.8637391307</v>
      </c>
      <c r="E6" s="108">
        <v>318903</v>
      </c>
      <c r="F6" s="108">
        <v>325947</v>
      </c>
      <c r="G6" s="102">
        <v>239622.81751504372</v>
      </c>
      <c r="H6" s="102">
        <v>2348.4330683975204</v>
      </c>
    </row>
    <row r="7" spans="2:8" x14ac:dyDescent="0.25">
      <c r="B7" s="56" t="s">
        <v>40</v>
      </c>
      <c r="C7" s="56" t="s">
        <v>38</v>
      </c>
      <c r="D7" s="109">
        <v>222850.6949259539</v>
      </c>
      <c r="E7" s="108">
        <v>483145</v>
      </c>
      <c r="F7" s="108">
        <v>396547</v>
      </c>
      <c r="G7" s="102">
        <v>229759.06646865845</v>
      </c>
      <c r="H7" s="102">
        <v>2739.4940101448628</v>
      </c>
    </row>
    <row r="8" spans="2:8" x14ac:dyDescent="0.25">
      <c r="B8" s="56" t="s">
        <v>41</v>
      </c>
      <c r="C8" s="56" t="s">
        <v>42</v>
      </c>
      <c r="D8" s="109">
        <v>3491989.0026545315</v>
      </c>
      <c r="E8" s="108">
        <v>42192</v>
      </c>
      <c r="F8" s="108">
        <v>48693</v>
      </c>
      <c r="G8" s="102">
        <v>3600240.6617368218</v>
      </c>
      <c r="H8" s="102">
        <v>5271.098035693959</v>
      </c>
    </row>
    <row r="9" spans="2:8" x14ac:dyDescent="0.25">
      <c r="B9" s="56" t="s">
        <v>43</v>
      </c>
      <c r="C9" s="56" t="s">
        <v>44</v>
      </c>
      <c r="D9" s="109">
        <v>68785</v>
      </c>
      <c r="E9" s="108">
        <v>1109</v>
      </c>
      <c r="F9" s="108">
        <v>1109</v>
      </c>
      <c r="G9" s="102">
        <v>70917.334999999992</v>
      </c>
      <c r="H9" s="102">
        <v>2.36475951499999</v>
      </c>
    </row>
    <row r="10" spans="2:8" x14ac:dyDescent="0.25">
      <c r="B10" s="56" t="s">
        <v>45</v>
      </c>
      <c r="C10" s="56" t="s">
        <v>44</v>
      </c>
      <c r="D10" s="109">
        <v>68785</v>
      </c>
      <c r="E10" s="110" t="s">
        <v>21</v>
      </c>
      <c r="F10" s="108">
        <v>18524</v>
      </c>
      <c r="G10" s="102">
        <v>70917.334999999992</v>
      </c>
      <c r="H10" s="102">
        <v>39.499373539999851</v>
      </c>
    </row>
    <row r="11" spans="2:8" x14ac:dyDescent="0.25">
      <c r="B11" s="56" t="s">
        <v>46</v>
      </c>
      <c r="C11" s="56" t="s">
        <v>44</v>
      </c>
      <c r="D11" s="109">
        <v>68785</v>
      </c>
      <c r="E11" s="110" t="s">
        <v>21</v>
      </c>
      <c r="F11" s="108">
        <v>30620</v>
      </c>
      <c r="G11" s="102">
        <v>70917.334999999992</v>
      </c>
      <c r="H11" s="102">
        <v>65.292097699999744</v>
      </c>
    </row>
    <row r="12" spans="2:8" x14ac:dyDescent="0.25">
      <c r="B12" s="55" t="s">
        <v>5</v>
      </c>
      <c r="C12" s="56"/>
      <c r="D12" s="56"/>
      <c r="E12" s="56"/>
      <c r="F12" s="56"/>
      <c r="G12" s="56"/>
      <c r="H12" s="105">
        <f>+SUM(H5:H11)</f>
        <v>17907.642353415318</v>
      </c>
    </row>
    <row r="13" spans="2:8" ht="18" customHeight="1" x14ac:dyDescent="0.25">
      <c r="B13" s="107" t="s">
        <v>47</v>
      </c>
      <c r="C13" s="107"/>
      <c r="D13" s="107"/>
      <c r="E13" s="107"/>
      <c r="H13" s="75"/>
    </row>
    <row r="14" spans="2:8" x14ac:dyDescent="0.25">
      <c r="B14" s="189" t="s">
        <v>48</v>
      </c>
      <c r="C14" s="189"/>
      <c r="D14" s="189"/>
      <c r="E14" s="189"/>
      <c r="G14" s="75"/>
      <c r="H14" s="75"/>
    </row>
    <row r="15" spans="2:8" x14ac:dyDescent="0.25">
      <c r="E15" s="76"/>
      <c r="G15" s="75"/>
      <c r="H15" s="75"/>
    </row>
    <row r="16" spans="2:8" x14ac:dyDescent="0.25">
      <c r="E16" s="76"/>
      <c r="G16" s="75"/>
      <c r="H16" s="75"/>
    </row>
    <row r="21" spans="8:8" x14ac:dyDescent="0.25">
      <c r="H21" s="75"/>
    </row>
  </sheetData>
  <mergeCells count="1">
    <mergeCell ref="B14:E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6853-85E3-463B-8382-55F219AC4F1B}">
  <dimension ref="B2:E23"/>
  <sheetViews>
    <sheetView workbookViewId="0">
      <selection activeCell="B23" sqref="B23"/>
    </sheetView>
  </sheetViews>
  <sheetFormatPr baseColWidth="10" defaultColWidth="11.42578125" defaultRowHeight="15" x14ac:dyDescent="0.25"/>
  <cols>
    <col min="1" max="1" width="2.42578125" customWidth="1"/>
    <col min="2" max="2" width="32.5703125" bestFit="1" customWidth="1"/>
    <col min="3" max="4" width="25.85546875" bestFit="1" customWidth="1"/>
  </cols>
  <sheetData>
    <row r="2" spans="2:4" ht="15.75" thickBot="1" x14ac:dyDescent="0.3">
      <c r="B2" s="27" t="s">
        <v>541</v>
      </c>
    </row>
    <row r="3" spans="2:4" x14ac:dyDescent="0.25">
      <c r="B3" s="190" t="s">
        <v>49</v>
      </c>
      <c r="C3" s="115" t="s">
        <v>50</v>
      </c>
    </row>
    <row r="4" spans="2:4" ht="15.75" thickBot="1" x14ac:dyDescent="0.3">
      <c r="B4" s="191"/>
      <c r="C4" s="117" t="s">
        <v>51</v>
      </c>
    </row>
    <row r="5" spans="2:4" ht="15.75" thickBot="1" x14ac:dyDescent="0.3">
      <c r="B5" s="118">
        <v>2019</v>
      </c>
      <c r="C5" s="119">
        <v>5.3E-3</v>
      </c>
    </row>
    <row r="6" spans="2:4" ht="15.75" thickBot="1" x14ac:dyDescent="0.3">
      <c r="B6" s="118">
        <v>2020</v>
      </c>
      <c r="C6" s="119">
        <v>0.1046</v>
      </c>
    </row>
    <row r="7" spans="2:4" ht="15.75" thickBot="1" x14ac:dyDescent="0.3">
      <c r="B7" s="118">
        <v>2021</v>
      </c>
      <c r="C7" s="119">
        <v>0.54930000000000001</v>
      </c>
    </row>
    <row r="8" spans="2:4" ht="15.75" thickBot="1" x14ac:dyDescent="0.3">
      <c r="B8" s="118">
        <v>2022</v>
      </c>
      <c r="C8" s="119">
        <v>0.1479</v>
      </c>
    </row>
    <row r="9" spans="2:4" ht="15.75" thickBot="1" x14ac:dyDescent="0.3">
      <c r="B9" s="118">
        <v>2023</v>
      </c>
      <c r="C9" s="119">
        <v>3.4500000000000003E-2</v>
      </c>
    </row>
    <row r="10" spans="2:4" ht="15.75" thickBot="1" x14ac:dyDescent="0.3">
      <c r="B10" s="118">
        <v>2024</v>
      </c>
      <c r="C10" s="119">
        <v>1.0740802959799747E-2</v>
      </c>
    </row>
    <row r="11" spans="2:4" ht="15.75" thickBot="1" x14ac:dyDescent="0.3">
      <c r="B11" s="116" t="s">
        <v>52</v>
      </c>
      <c r="C11" s="120">
        <v>0.1421</v>
      </c>
    </row>
    <row r="14" spans="2:4" x14ac:dyDescent="0.25">
      <c r="B14" s="56"/>
      <c r="C14" s="56">
        <v>2023</v>
      </c>
      <c r="D14" s="56">
        <v>2024</v>
      </c>
    </row>
    <row r="15" spans="2:4" x14ac:dyDescent="0.25">
      <c r="B15" s="56" t="s">
        <v>527</v>
      </c>
      <c r="C15" s="102">
        <v>1994726908</v>
      </c>
      <c r="D15" s="102">
        <v>680774617</v>
      </c>
    </row>
    <row r="16" spans="2:4" x14ac:dyDescent="0.25">
      <c r="B16" s="56" t="s">
        <v>528</v>
      </c>
      <c r="C16" s="102">
        <f>+C15*'Factor de Actualización'!B6</f>
        <v>2165038157.8684645</v>
      </c>
      <c r="D16" s="102">
        <f>+D15*'Factor de Actualización'!B7</f>
        <v>710987471.14645875</v>
      </c>
    </row>
    <row r="19" spans="2:5" x14ac:dyDescent="0.25">
      <c r="B19" s="111"/>
      <c r="C19" s="114" t="s">
        <v>520</v>
      </c>
      <c r="D19" s="114" t="s">
        <v>53</v>
      </c>
      <c r="E19" s="114" t="s">
        <v>521</v>
      </c>
    </row>
    <row r="20" spans="2:5" x14ac:dyDescent="0.25">
      <c r="B20" s="112" t="s">
        <v>54</v>
      </c>
      <c r="C20" s="139">
        <f>+C16/1000</f>
        <v>2165038.1578684645</v>
      </c>
      <c r="D20" s="102">
        <f>+D16/1000</f>
        <v>710987.47114645876</v>
      </c>
      <c r="E20" s="102">
        <f>+D20+C20/2</f>
        <v>1793506.550080691</v>
      </c>
    </row>
    <row r="21" spans="2:5" x14ac:dyDescent="0.25">
      <c r="B21" s="113">
        <v>0.6</v>
      </c>
      <c r="C21" s="113"/>
      <c r="D21" s="105"/>
      <c r="E21" s="105">
        <f>+E20*B21</f>
        <v>1076103.9300484145</v>
      </c>
    </row>
    <row r="23" spans="2:5" x14ac:dyDescent="0.25">
      <c r="B23" s="107" t="s">
        <v>47</v>
      </c>
    </row>
  </sheetData>
  <mergeCells count="1">
    <mergeCell ref="B3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19B9-BEC2-4FD6-BC30-529D100D5124}">
  <dimension ref="A1:J20"/>
  <sheetViews>
    <sheetView workbookViewId="0">
      <selection activeCell="B20" sqref="B20"/>
    </sheetView>
  </sheetViews>
  <sheetFormatPr baseColWidth="10" defaultColWidth="11.42578125" defaultRowHeight="15" x14ac:dyDescent="0.25"/>
  <cols>
    <col min="1" max="1" width="7" customWidth="1"/>
    <col min="2" max="5" width="14.85546875" customWidth="1"/>
    <col min="6" max="6" width="20.5703125" customWidth="1"/>
    <col min="7" max="7" width="14.85546875" customWidth="1"/>
    <col min="8" max="8" width="11.5703125" bestFit="1" customWidth="1"/>
    <col min="10" max="10" width="8.5703125" customWidth="1"/>
  </cols>
  <sheetData>
    <row r="1" spans="1:10" x14ac:dyDescent="0.25">
      <c r="B1" s="73" t="s">
        <v>55</v>
      </c>
    </row>
    <row r="2" spans="1:10" x14ac:dyDescent="0.25">
      <c r="A2" s="73"/>
    </row>
    <row r="3" spans="1:10" x14ac:dyDescent="0.25">
      <c r="B3" s="27" t="s">
        <v>56</v>
      </c>
    </row>
    <row r="4" spans="1:10" ht="45" x14ac:dyDescent="0.25">
      <c r="A4" s="82"/>
      <c r="B4" s="94" t="s">
        <v>49</v>
      </c>
      <c r="C4" s="95" t="s">
        <v>57</v>
      </c>
      <c r="D4" s="95" t="s">
        <v>58</v>
      </c>
      <c r="E4" s="95" t="s">
        <v>59</v>
      </c>
      <c r="F4" s="95" t="s">
        <v>60</v>
      </c>
      <c r="G4" s="95" t="s">
        <v>61</v>
      </c>
    </row>
    <row r="5" spans="1:10" x14ac:dyDescent="0.25">
      <c r="A5" s="83"/>
      <c r="B5" s="97">
        <v>2020</v>
      </c>
      <c r="C5" s="98">
        <v>1381258785</v>
      </c>
      <c r="D5" s="98">
        <v>741069513</v>
      </c>
      <c r="E5" s="99">
        <f>C5*'Factor de Actualización'!$B3</f>
        <v>1882105867.5408533</v>
      </c>
      <c r="F5" s="99">
        <f>D5*'Factor de Actualización'!$B3</f>
        <v>1009782738.6292008</v>
      </c>
      <c r="G5" s="99">
        <f>E5-F5</f>
        <v>872323128.91165245</v>
      </c>
      <c r="H5" s="74"/>
    </row>
    <row r="6" spans="1:10" x14ac:dyDescent="0.25">
      <c r="A6" s="83"/>
      <c r="B6" s="52">
        <v>2021</v>
      </c>
      <c r="C6" s="58">
        <v>1413259298</v>
      </c>
      <c r="D6" s="58">
        <v>238742947</v>
      </c>
      <c r="E6" s="74">
        <f>C6*'Factor de Actualización'!$B4</f>
        <v>1842415844.5307307</v>
      </c>
      <c r="F6" s="74">
        <f>D6*'Factor de Actualización'!$B4</f>
        <v>311240682.40360552</v>
      </c>
      <c r="G6" s="74">
        <f t="shared" ref="G6:G9" si="0">E6-F6</f>
        <v>1531175162.1271253</v>
      </c>
    </row>
    <row r="7" spans="1:10" x14ac:dyDescent="0.25">
      <c r="A7" s="83"/>
      <c r="B7" s="52">
        <v>2022</v>
      </c>
      <c r="C7" s="58">
        <v>2074173279</v>
      </c>
      <c r="D7" s="58">
        <v>161545552</v>
      </c>
      <c r="E7" s="74">
        <f>C7*'Factor de Actualización'!$B5</f>
        <v>2422115955.8280988</v>
      </c>
      <c r="F7" s="74">
        <f>D7*'Factor de Actualización'!$B5</f>
        <v>188644826.85887396</v>
      </c>
      <c r="G7" s="74">
        <f t="shared" si="0"/>
        <v>2233471128.9692249</v>
      </c>
    </row>
    <row r="8" spans="1:10" x14ac:dyDescent="0.25">
      <c r="A8" s="83"/>
      <c r="B8" s="52">
        <v>2023</v>
      </c>
      <c r="C8" s="58">
        <v>2151021133</v>
      </c>
      <c r="D8" s="58">
        <v>360054728</v>
      </c>
      <c r="E8" s="74">
        <f>C8*'Factor de Actualización'!$B6</f>
        <v>2334676898.7017932</v>
      </c>
      <c r="F8" s="74">
        <f>D8*'Factor de Actualización'!$B6</f>
        <v>390796465.37808222</v>
      </c>
      <c r="G8" s="74">
        <f t="shared" si="0"/>
        <v>1943880433.3237109</v>
      </c>
    </row>
    <row r="9" spans="1:10" x14ac:dyDescent="0.25">
      <c r="A9" s="83"/>
      <c r="B9" s="96">
        <v>2024</v>
      </c>
      <c r="C9" s="80">
        <v>1935069242</v>
      </c>
      <c r="D9" s="80">
        <v>253752175</v>
      </c>
      <c r="E9" s="81">
        <f>C9*'Factor de Actualización'!$B7</f>
        <v>2020947832.8168554</v>
      </c>
      <c r="F9" s="81">
        <f>D9*'Factor de Actualización'!$B7</f>
        <v>265013725.09481159</v>
      </c>
      <c r="G9" s="81">
        <f t="shared" si="0"/>
        <v>1755934107.7220438</v>
      </c>
    </row>
    <row r="10" spans="1:10" x14ac:dyDescent="0.25">
      <c r="A10" s="83"/>
      <c r="B10" s="122"/>
      <c r="C10" s="122"/>
      <c r="D10" s="122"/>
      <c r="E10" s="122"/>
      <c r="F10" s="123" t="s">
        <v>62</v>
      </c>
      <c r="G10" s="99">
        <f>AVERAGE(G5:G9)</f>
        <v>1667356792.2107518</v>
      </c>
    </row>
    <row r="11" spans="1:10" x14ac:dyDescent="0.25">
      <c r="F11" s="27" t="s">
        <v>63</v>
      </c>
      <c r="G11" s="74">
        <f>G10*J12</f>
        <v>333471358.44215035</v>
      </c>
    </row>
    <row r="12" spans="1:10" x14ac:dyDescent="0.25">
      <c r="B12" s="124"/>
      <c r="C12" s="124"/>
      <c r="D12" s="124"/>
      <c r="E12" s="124"/>
      <c r="F12" s="125" t="s">
        <v>64</v>
      </c>
      <c r="G12" s="160">
        <f>G11/1000</f>
        <v>333471.35844215035</v>
      </c>
      <c r="I12" t="s">
        <v>65</v>
      </c>
      <c r="J12" s="144">
        <v>0.2</v>
      </c>
    </row>
    <row r="13" spans="1:10" x14ac:dyDescent="0.25">
      <c r="B13" s="121" t="s">
        <v>66</v>
      </c>
    </row>
    <row r="14" spans="1:10" x14ac:dyDescent="0.25">
      <c r="B14" s="121" t="s">
        <v>568</v>
      </c>
    </row>
    <row r="16" spans="1:10" x14ac:dyDescent="0.25">
      <c r="B16" s="27" t="s">
        <v>67</v>
      </c>
    </row>
    <row r="17" spans="2:2" x14ac:dyDescent="0.25">
      <c r="B17" t="s">
        <v>554</v>
      </c>
    </row>
    <row r="18" spans="2:2" x14ac:dyDescent="0.25">
      <c r="B18" t="s">
        <v>68</v>
      </c>
    </row>
    <row r="20" spans="2:2" x14ac:dyDescent="0.25">
      <c r="B20" s="107" t="s">
        <v>47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53A8D-1BFA-4033-9E27-78A49BECDBEA}">
  <dimension ref="B1:H18"/>
  <sheetViews>
    <sheetView workbookViewId="0">
      <selection activeCell="B16" sqref="B16"/>
    </sheetView>
  </sheetViews>
  <sheetFormatPr baseColWidth="10" defaultColWidth="11.42578125" defaultRowHeight="15" x14ac:dyDescent="0.25"/>
  <cols>
    <col min="1" max="1" width="2.5703125" customWidth="1"/>
    <col min="2" max="2" width="39" customWidth="1"/>
    <col min="3" max="3" width="18.7109375" bestFit="1" customWidth="1"/>
    <col min="7" max="7" width="37.140625" customWidth="1"/>
  </cols>
  <sheetData>
    <row r="1" spans="2:8" x14ac:dyDescent="0.25">
      <c r="B1" s="27" t="s">
        <v>570</v>
      </c>
    </row>
    <row r="2" spans="2:8" x14ac:dyDescent="0.25">
      <c r="B2" s="27"/>
    </row>
    <row r="3" spans="2:8" x14ac:dyDescent="0.25">
      <c r="B3" s="27" t="s">
        <v>69</v>
      </c>
    </row>
    <row r="4" spans="2:8" x14ac:dyDescent="0.25">
      <c r="B4" s="56" t="s">
        <v>71</v>
      </c>
      <c r="C4" s="57">
        <v>488367</v>
      </c>
      <c r="G4" s="55" t="s">
        <v>70</v>
      </c>
      <c r="H4" s="56"/>
    </row>
    <row r="5" spans="2:8" x14ac:dyDescent="0.25">
      <c r="B5" s="56" t="s">
        <v>73</v>
      </c>
      <c r="C5" s="145">
        <f>C4*H5</f>
        <v>466502809.41000003</v>
      </c>
      <c r="G5" s="56" t="s">
        <v>72</v>
      </c>
      <c r="H5" s="56">
        <v>955.23</v>
      </c>
    </row>
    <row r="6" spans="2:8" x14ac:dyDescent="0.25">
      <c r="B6" s="56" t="s">
        <v>75</v>
      </c>
      <c r="C6" s="146">
        <f>C5/H6*1000</f>
        <v>11845262.682924414</v>
      </c>
      <c r="G6" s="56" t="s">
        <v>74</v>
      </c>
      <c r="H6" s="150">
        <v>39383.07</v>
      </c>
    </row>
    <row r="7" spans="2:8" x14ac:dyDescent="0.25">
      <c r="B7" s="121" t="s">
        <v>66</v>
      </c>
      <c r="G7" s="56" t="s">
        <v>76</v>
      </c>
    </row>
    <row r="8" spans="2:8" x14ac:dyDescent="0.25">
      <c r="G8" s="56" t="s">
        <v>77</v>
      </c>
      <c r="H8" s="60">
        <v>2.5000000000000001E-2</v>
      </c>
    </row>
    <row r="9" spans="2:8" x14ac:dyDescent="0.25">
      <c r="B9" s="173" t="s">
        <v>78</v>
      </c>
      <c r="C9" s="174"/>
    </row>
    <row r="10" spans="2:8" x14ac:dyDescent="0.25">
      <c r="B10" s="147" t="s">
        <v>79</v>
      </c>
      <c r="C10" s="148">
        <f>PMT(H8,20,C6,0,0)</f>
        <v>-759839.59021521872</v>
      </c>
    </row>
    <row r="11" spans="2:8" x14ac:dyDescent="0.25">
      <c r="B11" s="147" t="s">
        <v>5</v>
      </c>
      <c r="C11" s="148">
        <f>C10*20</f>
        <v>-15196791.804304374</v>
      </c>
    </row>
    <row r="12" spans="2:8" x14ac:dyDescent="0.25">
      <c r="B12" s="147" t="s">
        <v>80</v>
      </c>
      <c r="C12" s="149">
        <f>C11+C6</f>
        <v>-3351529.1213799603</v>
      </c>
    </row>
    <row r="13" spans="2:8" x14ac:dyDescent="0.25">
      <c r="B13" s="147" t="s">
        <v>81</v>
      </c>
      <c r="C13" s="149">
        <f>C12*H6/1000000</f>
        <v>-131993.50599434547</v>
      </c>
    </row>
    <row r="14" spans="2:8" x14ac:dyDescent="0.25">
      <c r="B14" s="147" t="s">
        <v>569</v>
      </c>
      <c r="C14" s="161">
        <f>(C13/20)</f>
        <v>-6599.6752997172734</v>
      </c>
    </row>
    <row r="16" spans="2:8" x14ac:dyDescent="0.25">
      <c r="B16" s="107" t="s">
        <v>47</v>
      </c>
    </row>
    <row r="18" spans="2:2" x14ac:dyDescent="0.25">
      <c r="B18" s="12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FBE90-D6A3-47F9-8E69-211D64D668E3}">
  <dimension ref="A1:SE75"/>
  <sheetViews>
    <sheetView workbookViewId="0">
      <selection activeCell="A26" sqref="A26"/>
    </sheetView>
  </sheetViews>
  <sheetFormatPr baseColWidth="10" defaultColWidth="11.42578125" defaultRowHeight="15" x14ac:dyDescent="0.25"/>
  <cols>
    <col min="1" max="1" width="68.140625" style="1" bestFit="1" customWidth="1"/>
    <col min="2" max="2" width="11.42578125" style="1" customWidth="1"/>
    <col min="3" max="3" width="11.42578125" style="1"/>
    <col min="500" max="16384" width="11.42578125" style="1"/>
  </cols>
  <sheetData>
    <row r="1" spans="1:3" x14ac:dyDescent="0.25">
      <c r="A1" s="28" t="s">
        <v>571</v>
      </c>
    </row>
    <row r="2" spans="1:3" ht="30" x14ac:dyDescent="0.25">
      <c r="A2" s="2"/>
      <c r="B2" s="84" t="s">
        <v>82</v>
      </c>
      <c r="C2" s="84" t="s">
        <v>83</v>
      </c>
    </row>
    <row r="3" spans="1:3" x14ac:dyDescent="0.25">
      <c r="A3" s="4" t="s">
        <v>84</v>
      </c>
      <c r="B3" s="86">
        <v>16653131</v>
      </c>
      <c r="C3" s="87">
        <f>B3*'Factor de Actualización'!B7</f>
        <v>17392198.828648008</v>
      </c>
    </row>
    <row r="4" spans="1:3" customFormat="1" x14ac:dyDescent="0.25">
      <c r="A4" s="85"/>
      <c r="B4" s="89"/>
      <c r="C4" s="90"/>
    </row>
    <row r="5" spans="1:3" x14ac:dyDescent="0.25">
      <c r="A5" s="4" t="s">
        <v>85</v>
      </c>
      <c r="B5" s="88">
        <v>71.3</v>
      </c>
      <c r="C5" s="88"/>
    </row>
    <row r="6" spans="1:3" x14ac:dyDescent="0.25">
      <c r="A6" s="4" t="s">
        <v>86</v>
      </c>
      <c r="B6" s="2">
        <v>19.7</v>
      </c>
      <c r="C6" s="2"/>
    </row>
    <row r="7" spans="1:3" x14ac:dyDescent="0.25">
      <c r="A7" s="4" t="s">
        <v>87</v>
      </c>
      <c r="B7" s="2">
        <v>4.8</v>
      </c>
      <c r="C7" s="2"/>
    </row>
    <row r="8" spans="1:3" x14ac:dyDescent="0.25">
      <c r="A8" s="4" t="s">
        <v>88</v>
      </c>
      <c r="B8" s="2">
        <v>3.5</v>
      </c>
      <c r="C8" s="2"/>
    </row>
    <row r="9" spans="1:3" x14ac:dyDescent="0.25">
      <c r="A9" s="4" t="s">
        <v>89</v>
      </c>
      <c r="B9" s="2">
        <v>0.6</v>
      </c>
      <c r="C9" s="2"/>
    </row>
    <row r="10" spans="1:3" x14ac:dyDescent="0.25">
      <c r="A10" s="5" t="s">
        <v>90</v>
      </c>
      <c r="B10" s="3">
        <f>B3*B7/100</f>
        <v>799350.28799999994</v>
      </c>
      <c r="C10" s="24">
        <f>B10*'Factor de Actualización'!B7</f>
        <v>834825.54377510445</v>
      </c>
    </row>
    <row r="11" spans="1:3" x14ac:dyDescent="0.25">
      <c r="A11" s="170" t="s">
        <v>574</v>
      </c>
      <c r="B11"/>
      <c r="C11"/>
    </row>
    <row r="12" spans="1:3" x14ac:dyDescent="0.25">
      <c r="A12"/>
      <c r="B12"/>
      <c r="C12"/>
    </row>
    <row r="13" spans="1:3" x14ac:dyDescent="0.25">
      <c r="A13"/>
      <c r="B13"/>
      <c r="C13"/>
    </row>
    <row r="14" spans="1:3" x14ac:dyDescent="0.25">
      <c r="A14" t="s">
        <v>91</v>
      </c>
      <c r="B14"/>
      <c r="C14"/>
    </row>
    <row r="15" spans="1:3" x14ac:dyDescent="0.25">
      <c r="A15" s="4" t="s">
        <v>92</v>
      </c>
      <c r="B15" s="2">
        <v>3.6</v>
      </c>
      <c r="C15"/>
    </row>
    <row r="16" spans="1:3" x14ac:dyDescent="0.25">
      <c r="A16" s="91" t="s">
        <v>93</v>
      </c>
      <c r="B16" s="2">
        <v>6.1</v>
      </c>
      <c r="C16"/>
    </row>
    <row r="17" spans="1:3" customFormat="1" x14ac:dyDescent="0.25"/>
    <row r="18" spans="1:3" ht="30" x14ac:dyDescent="0.25">
      <c r="A18" t="s">
        <v>78</v>
      </c>
      <c r="B18" s="84" t="s">
        <v>82</v>
      </c>
      <c r="C18" s="84" t="s">
        <v>83</v>
      </c>
    </row>
    <row r="19" spans="1:3" x14ac:dyDescent="0.25">
      <c r="A19" s="92" t="s">
        <v>94</v>
      </c>
      <c r="B19" s="93">
        <f>B10*B15/100</f>
        <v>28776.610367999998</v>
      </c>
      <c r="C19" s="24">
        <f>B19*'Factor de Actualización'!B7</f>
        <v>30053.719575903757</v>
      </c>
    </row>
    <row r="20" spans="1:3" x14ac:dyDescent="0.25">
      <c r="A20" s="5" t="s">
        <v>95</v>
      </c>
      <c r="B20" s="93">
        <f>B10*B16/100</f>
        <v>48760.367567999994</v>
      </c>
      <c r="C20" s="162">
        <f>B20*'Factor de Actualización'!B7</f>
        <v>50924.358170281368</v>
      </c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A35"/>
      <c r="B35"/>
      <c r="C35"/>
    </row>
    <row r="36" spans="1:3" x14ac:dyDescent="0.25">
      <c r="A36"/>
      <c r="B36"/>
      <c r="C36"/>
    </row>
    <row r="37" spans="1:3" x14ac:dyDescent="0.25">
      <c r="A37"/>
      <c r="B37"/>
      <c r="C37"/>
    </row>
    <row r="38" spans="1:3" x14ac:dyDescent="0.25">
      <c r="A38"/>
      <c r="B38"/>
      <c r="C38"/>
    </row>
    <row r="39" spans="1:3" x14ac:dyDescent="0.25">
      <c r="A39"/>
      <c r="B39"/>
      <c r="C39"/>
    </row>
    <row r="40" spans="1:3" x14ac:dyDescent="0.25">
      <c r="A40"/>
      <c r="B40"/>
      <c r="C40"/>
    </row>
    <row r="41" spans="1:3" x14ac:dyDescent="0.25">
      <c r="A41"/>
      <c r="B41"/>
      <c r="C41"/>
    </row>
    <row r="42" spans="1:3" x14ac:dyDescent="0.25">
      <c r="A42"/>
      <c r="B42"/>
      <c r="C42"/>
    </row>
    <row r="43" spans="1:3" x14ac:dyDescent="0.25">
      <c r="A43"/>
      <c r="B43"/>
      <c r="C43"/>
    </row>
    <row r="44" spans="1:3" x14ac:dyDescent="0.25">
      <c r="A44"/>
      <c r="B44"/>
      <c r="C44"/>
    </row>
    <row r="45" spans="1:3" x14ac:dyDescent="0.25">
      <c r="A45"/>
      <c r="B45"/>
      <c r="C45"/>
    </row>
    <row r="46" spans="1:3" x14ac:dyDescent="0.25">
      <c r="A46"/>
      <c r="B46"/>
      <c r="C46"/>
    </row>
    <row r="47" spans="1:3" x14ac:dyDescent="0.25">
      <c r="A47"/>
      <c r="B47"/>
      <c r="C47"/>
    </row>
    <row r="48" spans="1:3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  <row r="59" spans="1:3" x14ac:dyDescent="0.25">
      <c r="A59"/>
      <c r="B59"/>
      <c r="C59"/>
    </row>
    <row r="60" spans="1:3" x14ac:dyDescent="0.25">
      <c r="A60"/>
      <c r="B60"/>
      <c r="C60"/>
    </row>
    <row r="61" spans="1:3" x14ac:dyDescent="0.25">
      <c r="A61"/>
      <c r="B61"/>
      <c r="C61"/>
    </row>
    <row r="62" spans="1:3" x14ac:dyDescent="0.25">
      <c r="A62"/>
      <c r="B62"/>
      <c r="C62"/>
    </row>
    <row r="63" spans="1:3" x14ac:dyDescent="0.25">
      <c r="A63"/>
      <c r="B63"/>
      <c r="C63"/>
    </row>
    <row r="64" spans="1:3" x14ac:dyDescent="0.25">
      <c r="A64"/>
      <c r="B64"/>
      <c r="C64"/>
    </row>
    <row r="65" spans="1:3" x14ac:dyDescent="0.25">
      <c r="A65"/>
      <c r="B65"/>
      <c r="C65"/>
    </row>
    <row r="66" spans="1:3" x14ac:dyDescent="0.25">
      <c r="A66"/>
      <c r="B66"/>
      <c r="C66"/>
    </row>
    <row r="67" spans="1:3" x14ac:dyDescent="0.25">
      <c r="A67"/>
      <c r="B67"/>
      <c r="C67"/>
    </row>
    <row r="68" spans="1:3" x14ac:dyDescent="0.25">
      <c r="A68"/>
      <c r="B68"/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1</vt:lpstr>
      <vt:lpstr>2</vt:lpstr>
      <vt:lpstr>3</vt:lpstr>
      <vt:lpstr>4</vt:lpstr>
      <vt:lpstr>10</vt:lpstr>
      <vt:lpstr>11</vt:lpstr>
      <vt:lpstr>12</vt:lpstr>
      <vt:lpstr>13</vt:lpstr>
      <vt:lpstr>15</vt:lpstr>
      <vt:lpstr>19</vt:lpstr>
      <vt:lpstr>20</vt:lpstr>
      <vt:lpstr>21</vt:lpstr>
      <vt:lpstr>22</vt:lpstr>
      <vt:lpstr>23</vt:lpstr>
      <vt:lpstr>24</vt:lpstr>
      <vt:lpstr>25</vt:lpstr>
      <vt:lpstr>28</vt:lpstr>
      <vt:lpstr>29</vt:lpstr>
      <vt:lpstr>31</vt:lpstr>
      <vt:lpstr>32</vt:lpstr>
      <vt:lpstr>EUS_Régimen General_JUNIO2025 </vt:lpstr>
      <vt:lpstr>Factor de Actualización</vt:lpstr>
      <vt:lpstr>'EUS_Régimen General_JUNIO2025 '!Área_de_impresión</vt:lpstr>
      <vt:lpstr>'EUS_Régimen General_JUNIO2025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Dipres</dc:creator>
  <cp:keywords/>
  <dc:description/>
  <cp:lastModifiedBy>Andrea Encalada García</cp:lastModifiedBy>
  <cp:revision/>
  <dcterms:created xsi:type="dcterms:W3CDTF">2025-08-13T20:16:00Z</dcterms:created>
  <dcterms:modified xsi:type="dcterms:W3CDTF">2025-09-04T20:20:35Z</dcterms:modified>
  <cp:category/>
  <cp:contentStatus/>
</cp:coreProperties>
</file>