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IV" sheetId="1" r:id="rId1"/>
  </sheets>
  <definedNames/>
  <calcPr fullCalcOnLoad="1"/>
</workbook>
</file>

<file path=xl/sharedStrings.xml><?xml version="1.0" encoding="utf-8"?>
<sst xmlns="http://schemas.openxmlformats.org/spreadsheetml/2006/main" count="508" uniqueCount="268">
  <si>
    <t>Cifras en miles de $</t>
  </si>
  <si>
    <t>Código BIP</t>
  </si>
  <si>
    <t>Nombre de Proyecto</t>
  </si>
  <si>
    <t>Monto Identificado</t>
  </si>
  <si>
    <t>Etapa *</t>
  </si>
  <si>
    <t>Plazo de Ejecución **</t>
  </si>
  <si>
    <t>DIAGNOSTICO Y MONITOREO DE PASTIZALES ANDINOS DE LA IV REGION</t>
  </si>
  <si>
    <t>EN EJECUCION</t>
  </si>
  <si>
    <t>ANALISIS MEJORAMIENTO DE LA GESTION DE TRANSITO EN OVALLE</t>
  </si>
  <si>
    <t>DIAGNOSTICO CALIDAD DE AGUAS SUPERFICIALES , LIMARI</t>
  </si>
  <si>
    <t>DIAGNOSTICO RESTAURACION IGLESIA DE SOTAQUI , OVALLE</t>
  </si>
  <si>
    <t>DIAGNOSTICO Y DISEÑO PLAN DESARROLLO COM. AGRICOLAS REG. COQUIMBO</t>
  </si>
  <si>
    <t>DIAGNOSTICO RESTAURACION FARO MONUMENTAL DE LA SERENA</t>
  </si>
  <si>
    <t>DIAGNOSTICO CALIDAD DE AIRE Y MEDIDA DE DESCONTAMINACION , ANDACOLLO</t>
  </si>
  <si>
    <t>DIAGNOSTICO REGIONAL, CALIDAD DE LOS APRENDIZAJES EDUCACION BASICA</t>
  </si>
  <si>
    <t>LEVANTAMIENTO INFORMACION BASICA ESTERO DERECHO , PAIHUANO</t>
  </si>
  <si>
    <t>APROBADO CORE</t>
  </si>
  <si>
    <t>INVESTIGACION EST. DE CORRELACION ENTRE CONT.AEREOS Y ENF. RESPIRAT.</t>
  </si>
  <si>
    <t>EN LICITACION</t>
  </si>
  <si>
    <t>CONSTRUCCION CESFAM RURAL PAN DE AZUCAR , COQUIMBO</t>
  </si>
  <si>
    <t>CONSTRUCCION SAPU CONSULTORIO CARDENAL CARO , LA SERENA</t>
  </si>
  <si>
    <t>CONSTRUCCION ELECTRIFICACION PEÑABLANCA , OVALLE</t>
  </si>
  <si>
    <t>CONSTRUCCION ALCANTARILLADO SERVICIO SAN ISIDRO - CALINGASTA</t>
  </si>
  <si>
    <t>AMPLIACION ESCUELA DE NUEVA TALCUNA , VICUÑA</t>
  </si>
  <si>
    <t>CONSTRUCCION ELECTRIFICACION LA CEBADA , OVALLE</t>
  </si>
  <si>
    <t>CONSTRUCCION POSTA SALUD RURAL ESTACION RECOLETA , OVALLE</t>
  </si>
  <si>
    <t>EN ADJUDICACION</t>
  </si>
  <si>
    <t>CONSTRUCCION ELECTRIFICACION CAMARICO VIEJO , OVALLE</t>
  </si>
  <si>
    <t>CONSTRUCCION DE OFICINAS PUBLICAS CONAF LA SERENA</t>
  </si>
  <si>
    <t>REPOSICION JARDIN FAMILIAR , EL TRAPICHE , LA HIGUERA</t>
  </si>
  <si>
    <t xml:space="preserve">REPOSICION POSTA SALUD RURAL HUENTELAUQUEN NORTE, CANELA  </t>
  </si>
  <si>
    <t>CONSTRUCCION ELECTRIFICACION CALETA EL TORO COMUNA DE OVALLE</t>
  </si>
  <si>
    <t>NORMALIZACION HOSPITAL OVALLE</t>
  </si>
  <si>
    <t>MEJORAMIENTO RUTA  D-805  ILLAPEL  -  CAREN</t>
  </si>
  <si>
    <t>MEJORAMIENTO OPTIMIZACION RECURSO HIDRICO RIO CHALINGA , PROV. CHOAPA</t>
  </si>
  <si>
    <t>REPOSICION ESCUELA DE ARTES Y MUSICA DE OVALLE ( DISEÑO )</t>
  </si>
  <si>
    <t>REPOSICION TOTAL ESCUELA BASICA G-253 TABALI, OVALLE</t>
  </si>
  <si>
    <t>REPOSICION ESCUELA BASCICA G-260 MARCOS PIZARRO , SAN JULIAN, OVALLE</t>
  </si>
  <si>
    <t>CONSTRUCCION CENTRO ACUATICO REGIONAL</t>
  </si>
  <si>
    <t xml:space="preserve">CONSTRUCCION VIVIENDAS PARA DOCENTES ESCUELA DE PICHASCA, R. HURTADO </t>
  </si>
  <si>
    <t>NORMALIZACION HOSPITAL COQUIMBO</t>
  </si>
  <si>
    <t xml:space="preserve">REPOSICION CENTRO LABORAL JEAN PIAGET , COQUIMBO  </t>
  </si>
  <si>
    <t>CONSTRUCCION PLAZA DE LOS ABASTOS Y EVENTOS DE VICUÑA</t>
  </si>
  <si>
    <t>CONSTRUCCION POSTA SALUD RURAL EN NUEVO PUEBLO DE GUALLIGUAICA</t>
  </si>
  <si>
    <t>CONSTRUCCION PAVIMENTO CALLE MANUEL ANTONIO MATTA , ILLAPEL</t>
  </si>
  <si>
    <t>CONSTRUCCION ELECTRIFICACION EL PERAL OJO DE AGUA , OVALLE</t>
  </si>
  <si>
    <t>CONSTRUCCION ELECTRIFICACION EL DURAZNO II ETAPA , OVALLE</t>
  </si>
  <si>
    <t>REPOSICION POSTA SALUD RURAL DE RAMADILLA - COMBARBALA</t>
  </si>
  <si>
    <t>CONSTRUCCION DE IMPLEMENTACION DE SALA CUNA EN LA COMUNA DE VICUÑA</t>
  </si>
  <si>
    <t>INSTALACION SISTEMAS DE AUTOGENERACION ELECTRICA REGION DE COQUIMBO</t>
  </si>
  <si>
    <t>CONSTRUCCION GIMNASIO TIERRAS BLANCAS , COQUIMBO</t>
  </si>
  <si>
    <t>REPOSICION EDIFICIO CONSISTORIAL MUNICIPALIDAD ILLAPEL</t>
  </si>
  <si>
    <t>CONSTRUCCION JARDIN INFANTIL BELLAMAR PARTE ALTA , COQUIMBO</t>
  </si>
  <si>
    <t>CONSTRUCCION JARDIN INFANTIL Y SALA CUNA EL FARO , PARTE ALTA, COQUIMBO</t>
  </si>
  <si>
    <t>REPOSICION JARDIN FAMILIAR, PUNTA DE CHOROS, LA HIGUERA</t>
  </si>
  <si>
    <t xml:space="preserve">CONSTRUCCION VEREDAS Y SOLERAS AVENIDA ISLON , LA SERENA </t>
  </si>
  <si>
    <t>CONSTRUCCION PLAZA DE ABASTO , ILLAPEL</t>
  </si>
  <si>
    <t>REPOSICION POSTA DE SALUD DE CARCAMO , ILLAPEL</t>
  </si>
  <si>
    <t>MEJORAMIENTO RUTA D-595 OVALLE - HURTADO SECTOR SAMO ALTO , PICHASCA</t>
  </si>
  <si>
    <t>REPOSICION ESC. BASICA Y VIV.DIR. ARBOLEDA GRANDE, SALAMANCA</t>
  </si>
  <si>
    <t>CONSTRUCCION PAVIMENTO CALLE SAN JOAQUIN , LA SERENA</t>
  </si>
  <si>
    <t>CONSTRUCCION LICEO MARITIMO DE COQUIMBO</t>
  </si>
  <si>
    <t>REPOSICION JARDIN INFANTIL RENACER , LA SERENA</t>
  </si>
  <si>
    <t xml:space="preserve">REPOSICION EDIFICIO CONSISTORIAL, COMUNA DE LA HIGUERA  </t>
  </si>
  <si>
    <t>AMPLIACION ESCUELA DIEGO DE ALMAGRO , LOS VILOS</t>
  </si>
  <si>
    <t>AMPLIACION INTERNADO ESCUELA GABRIELA MISTRAL DE MONTEGRANDE</t>
  </si>
  <si>
    <t>AMPLIACION Y REMODELACION MUSEO ARQUEOLOGICO DE LA SERENA</t>
  </si>
  <si>
    <t>REPOSICION CENTRO DE SALUD FAMILIAR SANTA CECILIA PARTE ALTA COQUIMBO</t>
  </si>
  <si>
    <t>MEJORAMIENTO CAMINO 64D485  SECTOR  PISCO  ELQUI-HORCÓN</t>
  </si>
  <si>
    <t>CONSTRUCCION EMBALSE VALLE HERMOSO EN RIO PAMA-COMUNA DE COMBBLA.  ( DISEÑO )</t>
  </si>
  <si>
    <t>CONSTRUCCION SALA MULTIUSO SEDE JUNTA VECINOS N° 16 , SAN JUAN COQUIMBO</t>
  </si>
  <si>
    <t>AMPLIACION ESCUELA CARLOS CONDELL DE CALETA HORNOS , LA HIGUERA</t>
  </si>
  <si>
    <t>CONSTRUCCION MULTICANCHA J.V. COQUIMBO ORIENTE , COQUIMBO</t>
  </si>
  <si>
    <t>REPOSICION ESCUELA BASICA CARDENAL CARO , COQUIMBO</t>
  </si>
  <si>
    <t>AMPLIACION Y ADECUACION ESCUELA BASICA DE EL PALQUI , MONTE PATRIA</t>
  </si>
  <si>
    <t xml:space="preserve">REPOSICION CONSULTORIO RURAL DE PAIHUANO  </t>
  </si>
  <si>
    <t>REPOSICION POSTA SALUD RURAL DE RIVADAVIA , VICUÑA</t>
  </si>
  <si>
    <t>CONSTRUCCION EMBALSE LA TRANCA  EN RIO COGOTI , PROV.LIMARI ( FACTIBILIDAD)</t>
  </si>
  <si>
    <t>CONSTRUCCION SOLUC. SANITARIAS QDAS. PINTO PAIHUANO , HORCON, PAIHUANO</t>
  </si>
  <si>
    <t>AMPLIACION RED ELECTRICA VARIOS SECTORES RURALES DE VICUÑA</t>
  </si>
  <si>
    <t>REPOSICION CESFAM EMILIO SCHAFFHAUSER COMUNA LA SERENA</t>
  </si>
  <si>
    <t>CONSTRUCCION SOLUCIONES SANITARIAS DE CHILLEPIN , SALAMANCA</t>
  </si>
  <si>
    <t>CONSTRUCCION COMPLEJO DEPORTIVO LOS LLANOS LAS COMPAÑIAS</t>
  </si>
  <si>
    <t>AMPLIACION ESCUELA BASICA DE CUZ CUZ , ILLAPEL</t>
  </si>
  <si>
    <t>REPOSICION CENTRO DE SALUD, LA HIGUERA</t>
  </si>
  <si>
    <t>REPOSICION CONSULTORIO GENERAL URBANO DE SAN JUAN</t>
  </si>
  <si>
    <t>REPOSICION JARDIN INFANTIL VALLE DE LA LUNA , HUACHALALUME , LA SERENA</t>
  </si>
  <si>
    <t>AMPLIACION Y MEJORAMIENTO SISTEMA APR., LAS BARRANCAS , COQUIMBO</t>
  </si>
  <si>
    <t>REPOSICION CENTRO SALUD DE MONTE PATRIA</t>
  </si>
  <si>
    <t>CONSTRUCCION PAC. CALLE INDEPENDENCIA ENTRE FREIRE Y SAN MARTIN , VICUÑA</t>
  </si>
  <si>
    <t>MEJORAMIENTO ESTADIO MUNICIPAL DE PUNITAQUI</t>
  </si>
  <si>
    <t>EQUIPAMIENTO PUERTO PESQUERO ARTESANAL DE COQUIMBO</t>
  </si>
  <si>
    <t>CONSTRUCCION PAV.ACCESO VILLA EL PALQUI , COMUNA DE MONTE PATRIA</t>
  </si>
  <si>
    <t>REPOSICION ESCUELA BASICA CHUCHIÑI</t>
  </si>
  <si>
    <t>CONSTRUCCION CENTRO INTEGRAL DISCAPACITADOS TS.BLANCAS , COQUIMBO</t>
  </si>
  <si>
    <t>MEJORAMIENTO RUTA D-555, SAN JULIAN - LAS RAMADAS DE PUNITAQUI ( DISEÑO )</t>
  </si>
  <si>
    <t>CONSTRUCCION ELECTRIFICACION PORTEZUELOS BLANCOS Y LOS CORRALES , PUNITAQUI</t>
  </si>
  <si>
    <t>CONSTRUCCION SEDE SOCIAL SINDICATO AGRICOLA SAN RAMON , TS.BLANCAS , COQUIMBO</t>
  </si>
  <si>
    <t>AMPLIACION Y REPOSICION COLEGIO MANUEL RODRIGUEZ E-6 , LA SERENA</t>
  </si>
  <si>
    <t>REPOSICION ESCUELA DE COGOTI 18 - COMBARBALA</t>
  </si>
  <si>
    <t>CONSTRUCCION NUEVO ESTABLECIMIENTO HELENE HANG , OVALLE</t>
  </si>
  <si>
    <t>AMPLIACION ESCUELA BASICA VISTA HERMOSA DE OVALLE</t>
  </si>
  <si>
    <t>CONSTRUCCION NUEVA ESCUELA BASICA DE OVALLE</t>
  </si>
  <si>
    <t>AMPLIACION ESCUELA HELENE LANG DE OVALLE</t>
  </si>
  <si>
    <t>REPOSICION ESCUELA BASICA LUCIA NUÑEZ , LA TORRE , OVALLE</t>
  </si>
  <si>
    <t>AMPLIACION LICEO ESTELA AVILA MOLINA DE PERRY , OVALLE</t>
  </si>
  <si>
    <t>CONSTRUCCION MULTICANCHA Y CAMARINES ESCUELA PEÑUELAS , COQUIMBO</t>
  </si>
  <si>
    <t>CONSTRUCCION SALA CUNA Y NORMALIZACION J. FAMILIAR NUEVA TALCUNA , VICUÑA</t>
  </si>
  <si>
    <t>CONSTRUCCION SALA CUNA Y JARDIN  INFANTIL LAS LOMAS DE TUQUI , OVALLE</t>
  </si>
  <si>
    <t>CONSTRUCCION ELECTRIFICACION DE ALCONES ALTOS OVALLE</t>
  </si>
  <si>
    <t>AMPLIACION SISTEMA APR., EL ROMERO  ( DISEÑO )</t>
  </si>
  <si>
    <t>AMPLIACION SISTEMA APR., EL GUINDO , OVALLE</t>
  </si>
  <si>
    <t>AMPLIACION SISTEMA APR., EL MAQUI , MONTE PATRIA</t>
  </si>
  <si>
    <t>CONSTRUCCION SEDE COMUNITARIA MULTIUSO POBL. LAUTARO , ILLAPEL</t>
  </si>
  <si>
    <t>CONSTRUCCION MULTICANCHA - EL SORUCO - COMBARBALA</t>
  </si>
  <si>
    <t>REPOSICION CENTRO SALUD PUNITAQUI</t>
  </si>
  <si>
    <t>CONSTRUCCION SOLUC. SANIT. Y OBRAS DE URBANIZACION P.ALTA COQUIMBO</t>
  </si>
  <si>
    <t>ADQUISICION EQUIP. E INSTRUM.ORTODON Y ORTOPEDIA DENTOMAXILAR H. COQBO.</t>
  </si>
  <si>
    <t>AMPLIACION ESCUELA UNION CAMPESINA DE LA COMUNA DE OVALLE</t>
  </si>
  <si>
    <t>AMPLIACION  ESCUELA EL TRAPICHE , OVALLE</t>
  </si>
  <si>
    <t>AMPLIACION Y ADECUACION COLEGIO GERMAN  RIESCO , E-1 , LA SERENA</t>
  </si>
  <si>
    <t>INSTALACION SISTEMA APR., EL MANZANO , ANDACOLLO</t>
  </si>
  <si>
    <t>REPOSICION JARDIN FAMILIAR DE MONTEGRANDE</t>
  </si>
  <si>
    <t>CONSTRUCCION ELECTRIFICACION LOCALIDAD RURAL LAS ALCAPARRAS , COQUIMBO</t>
  </si>
  <si>
    <t xml:space="preserve">CONSTRUCCION JARDIN INFANTIL JUNJI LAS COMPAÑIAS , LA SERENA </t>
  </si>
  <si>
    <t>CONSTRUCCION PARQUE ALEMANIA, SECTOR LAS COMPAÑIAS , COMUNA DE LA SERENA</t>
  </si>
  <si>
    <t>CONSTRUCCION PARQUE 18 DE SEPTIEMBRE, LA ANTENA , COMUNA DE LA SERENA</t>
  </si>
  <si>
    <t>AMPLIACION SISTEMA APR., HORCON - PAIHUANO</t>
  </si>
  <si>
    <t>CONSTRUCCION CAMINO QUEBRADA SECA , PUERTO ALDEA ( DISEÑO )</t>
  </si>
  <si>
    <t>AMPLIACION SISTEMA APR., MARQUEZA - NUEVA TALCUNA , VICUÑA</t>
  </si>
  <si>
    <t>CONSTRUCCION ELECTRIFICACION LOCALIDAD RURAL EL PEÑON LOTE C , COQUIMBO</t>
  </si>
  <si>
    <t>MEJORAMIENTO RUTA D-577 , CAREN - PEDREGAL - EL MAITEN</t>
  </si>
  <si>
    <t>CONSTRUCCION SISTEMA DE TRATAMIENTO DE AGUAS SERVIDAS , HURTADO</t>
  </si>
  <si>
    <t>REPOSICION EQUIPAMIENTO MEDICINA FISICA Y REHABILITACION HOSPITAL COQUIMBO</t>
  </si>
  <si>
    <t>AMPLIACION COMPLEJO POLICIAL IV REGION PICH , LA SERENA</t>
  </si>
  <si>
    <t>REPOSICION CES FAMILIAR , RIO HURTADO ( DISEÑO )</t>
  </si>
  <si>
    <t>REPOSICION SALA CUNA Y JARDIN INFANTIL CANTERA ALTA , COQUIMBO</t>
  </si>
  <si>
    <t>MEJORAMIENTO RUTA D-825 LIMAHUIDA - ALMENDRILLO,S; TAHUINCO-SALAMANCA</t>
  </si>
  <si>
    <t>CAPACITACION COMITES DE AGUA POTABLE Y ALCANT.RURAL PROV.ELQUI</t>
  </si>
  <si>
    <t>INSTALACION SISTEMA ALCANTARILLADO CARACHILLA , OVALLE</t>
  </si>
  <si>
    <t>CONSTRUCCION III CESFAM URBANO OVALLE</t>
  </si>
  <si>
    <t>RESTAURACION IGLESIA SANTA INES , LA SERENA</t>
  </si>
  <si>
    <t>MEJORAMIENTO 5 LOC. BARRAZA, TABALÍ, SAN JULIAN , LA CHIMBA , TALHUEN</t>
  </si>
  <si>
    <t>AMPLIACION SISTEMA APR., LOS CHOROS</t>
  </si>
  <si>
    <t>AMPLIACION SISTEMA APR., NUEVA AURORA , OVALLE</t>
  </si>
  <si>
    <t>AMPLIACION SISTEMA APR., QDA. DE TALCA LA SERENA</t>
  </si>
  <si>
    <t>CONSTRUCCION CALETA PESQUERA TOTORALILLO NORTE , LA HIGUERA  (  DISEÑO  )</t>
  </si>
  <si>
    <t>REPOSICION JARDIN INFANTIL CAPULLITO , LA HIGUERA  ( DISEÑO )</t>
  </si>
  <si>
    <t>CONSTRUCCION SEDE CLUB INDEPENDIENTE TONGOY , COQUIMBO</t>
  </si>
  <si>
    <t>CONSTRUCCION CAMARINES Y GRADERIAS MULTICANCHA COLONIAL , LA SERENA</t>
  </si>
  <si>
    <t>REPOSICION DE LUMINARIAS REGION DE COQUIMBO</t>
  </si>
  <si>
    <t>CONSTRUCCION III CESFAM LAS COMPAÑIAS , LA SERENA</t>
  </si>
  <si>
    <t>REPOSICION POSTA RURAL EL ROMERO , COMUNA DE LA SERENA</t>
  </si>
  <si>
    <t>CONSTRUCCION SALON USO MULTIPLE , LOS MAITENES DE SERON , RIO HURTADO</t>
  </si>
  <si>
    <t>INSTALACION SISTEMA DE ELECTRIFICACION RURAL EN QUEBRADA QUEMADA , PUNITAQUI</t>
  </si>
  <si>
    <t>CONSTRUCCION CENTRO DE REHABILITACION E INTEGRACION , ADISTON , TONGOY</t>
  </si>
  <si>
    <t>ADQUISICION DE MAQ. Y EQUIPOS PARA TALLERES LICEO PRC. ILLAPEL</t>
  </si>
  <si>
    <t>MEJORAMIENTO Y AMP. JARDIN INFANTIL SALA CUNA AÑOS FELICES , TIERRAS BLANCAS</t>
  </si>
  <si>
    <t>MEJORAMIENTO AVENIDA CAUPOLICAN, II ETAPA, LOS VILOS</t>
  </si>
  <si>
    <t>CONSTRUCCION OBRAS VIALES PARA MINUSVALIDOS , IV REGION</t>
  </si>
  <si>
    <t>INSTALACION SISTEMA APR., LA COLORADA , COMBARBALA</t>
  </si>
  <si>
    <t>CONSERVACION PAVIMENTOS IV REGION , AÑO 2007</t>
  </si>
  <si>
    <t>AMPLIACION SISTEMA APR., JUNTA DOS RIOS , MONTE PATRIA ( DISEÑO )</t>
  </si>
  <si>
    <t>MEJORAMIENTO ACERAS SECTOR CENTRAL DE SALAMANCA</t>
  </si>
  <si>
    <t>AMPLIACION JARDIN INFANTIL Y SALA CUNA LOS GRILLITOS TS. BLANCAS</t>
  </si>
  <si>
    <t>CONSTRUCCION CENTRO DE DIFUSION DEL PATRIMONIO COMUNAL , RIO HURTADO  (DISEÑO)</t>
  </si>
  <si>
    <t>CONSTRUCCION ELECTRIFICACION LA CORTADERA , ANDACOLLO</t>
  </si>
  <si>
    <t>CONSTRUCCION POSTA DE SALUD RURAL SECTOR LOS CONDORES , LOS VILOS</t>
  </si>
  <si>
    <t>CONSTRUCCION CASETAS SANITARIAS DE HUANA , MONTE PATRIA</t>
  </si>
  <si>
    <t>REPOSICION PAVIMENT.CALLE LOS LIBERTADORES , CH.ALTO , MONTE PATRIA</t>
  </si>
  <si>
    <t>MEJORAMIENTO PAVIMENTACION CAMINO CARÉN - TULAHUÉN , MONTE PATRIA  ( DISEÑO )</t>
  </si>
  <si>
    <t>AMPLIACION Y MEJORAMIENTO INTERNADO FEMENINO COQUIMBO ( DISEÑO )</t>
  </si>
  <si>
    <t xml:space="preserve">AMPLIACION Y MEJORAMIENTO INTERNADO FEMENINO COQUIMBO </t>
  </si>
  <si>
    <t>CONSTRUCCION EMBALSE MURALLAS VIEJAS RIO COMBARBALA</t>
  </si>
  <si>
    <t>REPOSICION JARDIN INFANTIL NIDITO DE AMOR , COQUIMBO</t>
  </si>
  <si>
    <t>CONSTRUCCION CESFAM II EN SECTOR TIERRAS BLANCAS , COQUIMBO</t>
  </si>
  <si>
    <t>CONSERVACION CAMINO 64E359 CALINGASTA - OBSERVATORIO MAMALLUCA</t>
  </si>
  <si>
    <t>CONSERVACION CAMINO 64E763 SAN PEDRO-BOSQUE PETRIFICADO DE PICHASCA</t>
  </si>
  <si>
    <t>MEJORAMIENTO CALETA GUANAQUEROS , COQUIMBO</t>
  </si>
  <si>
    <t>AMPLIACION ESCUELA PEÑUELAS , COQUIMBO</t>
  </si>
  <si>
    <t>CONSTRUCCION SOLUCIONES SANITARIAS SAN ISIDRO-CALINGASTA VICUÑA</t>
  </si>
  <si>
    <t>MEJORAMIENTO CAMINO 64D825 SECTOR : SALAMANCA - QUELEN BAJO ( DISEÑO )</t>
  </si>
  <si>
    <t>CONSTRUCCION COMPLEJO DEPORTIVO EN ESTADIO MUNICIPAL DE CANELA</t>
  </si>
  <si>
    <t>CONSTRUCCION EMBALSE EL CANELILLO , COMUNA ILLAPEL , PREFACTIBILIDAD</t>
  </si>
  <si>
    <t>MEJORAMIENTO SISTEMA AGUA POTABLE COMP. FRONT. JUNTAS DEL TORO PROV. ELQUI</t>
  </si>
  <si>
    <t>MEJORAMIENTO ACCESO PUERTO DE COQUIMBO DESDE RUTA 5 NORTE</t>
  </si>
  <si>
    <t>MEJORAMIENTO AVENIDA JUAN ANTONIO RIOS , COQUIMBO</t>
  </si>
  <si>
    <t>CONSTRUCCION PARQUE DE LA CIENCIA , LA TECN, LA CULTURA Y LAS ARTES , IV REGION</t>
  </si>
  <si>
    <t>REPOSICION PARCIAL LICEO JORGE ALESSANDRI , LAS CIAS, LA SERENA</t>
  </si>
  <si>
    <t>REPOSICION PARCIAL COLEGIO ARTURO PRAT LAS CIAS , LA SERENA</t>
  </si>
  <si>
    <t>MEJORAMIENTO CAMINO D-595 SECTOR : PICHASCA - EL HUERTO , RIO HURTADO ( DISEÑO )</t>
  </si>
  <si>
    <t>REPOSICION CENTRO COMUNITARIO DE TRES CRUCES PAIHUANO</t>
  </si>
  <si>
    <t>CONSTRUCCION PASEOS SEMIPEATONALES CENTRO CIVICO DE LA SERENA</t>
  </si>
  <si>
    <t>MEJORAMIENTO IMPLEMENTACION MONUMENTO NATURAL PICHASCA , RIO HURTADO</t>
  </si>
  <si>
    <t>CONSERVACION DE PAVIMENTOS IV REGION , AÑO 2008</t>
  </si>
  <si>
    <t>INSTALACION SISTEMA APR SECTOR BARRIO ALTO , CANELA</t>
  </si>
  <si>
    <t>REPOSICION PUENTES COMUNA DE RIO HURTADO , PROV. DE LIMARI</t>
  </si>
  <si>
    <t>RESTAURACION ESTRUCTURAL IGLESIA PARROQUIAL DE ANDACOLLO</t>
  </si>
  <si>
    <t>SANEAMIENTO REGISTRO DE GOCE SING.II COM. AGRICOLAS REG. COQUIMBO</t>
  </si>
  <si>
    <t>CONSTRUCCION SOLUCIONES SANITARIAS PICHASCA RIO HURTADO</t>
  </si>
  <si>
    <t>CONSTRUCCION SOLUCIONES SANITARIAS LOCALIDAD EL GUINDO , OVALLE</t>
  </si>
  <si>
    <t>AMPLIACION SERVICIO APR HUENTELAUQUEN NORTE , CANELA</t>
  </si>
  <si>
    <t>CONSTRUCCION CASETAS SANITARIAS MARQUESA Y NVA. TALCUNA , VICUÑA</t>
  </si>
  <si>
    <t>REPOSICION JARDIN INFANTIL PERLITA DE OSTION , TONGOY , COQUIMBO</t>
  </si>
  <si>
    <t>INSTALACION SISTEMA DE APR LA PORTADA DE SOTAQUI , OVALLE</t>
  </si>
  <si>
    <t>CONSTRUCCION TEATRO REGIONAL , COMUNA DE LA SERENA</t>
  </si>
  <si>
    <t>MEJORAMIENTO AVENIDA CAUPOLICAN 3° ETAPA , LOS VILOS</t>
  </si>
  <si>
    <t xml:space="preserve">CONSTRUCCION HATCHERY LICEO MARITIMO , TONGOY </t>
  </si>
  <si>
    <t>DIFUSION FONDO DE TESIS UNIVERSITARIAS</t>
  </si>
  <si>
    <t>CONSTRUCCION PASEO Y MIRADORES DE GUALLIGUAICA , VICUÑA ( DISEÑO )</t>
  </si>
  <si>
    <t>CONSTRUCCION SOLUCIONES SANITARIAS DE TRANQUILLA , SALAMANCA</t>
  </si>
  <si>
    <t>MEJORAMIENTO RUTA D-805 , SECTOR HUINTIL - LA CAPILLA , ILLAPEL ( DISEÑO )</t>
  </si>
  <si>
    <t>INSTALACION SISTEMA APR., LA CAPILLA , ILLAPEL  ( DISEÑO )</t>
  </si>
  <si>
    <t>AMPLIACION SISTEMA APR., LAS BREAS . RIO HURTADO ( DISEÑO )</t>
  </si>
  <si>
    <t>MEJORAMIENTO AVDAS.PEDRO PABLO MUÑOZ , EL SANTO, LAS GARZAS LS-COQUIMBO</t>
  </si>
  <si>
    <t>CONSTRUCCION EMBALSE RIO RAPEL, COMUNA MONTE PATRIA</t>
  </si>
  <si>
    <t>RESTAURACION CASA GABRIELA MISTRAL EN LAS COMPAÑIAS , LA SERENA</t>
  </si>
  <si>
    <t>REPARACION CASA DE GABRIELA MISTRAL LAS PALMERAS , LA SERENA</t>
  </si>
  <si>
    <t>MEJORAMIENTO RUTA D-37-E SECTOR : LIMAHUIDA - CANELILLO , ILLAPEL</t>
  </si>
  <si>
    <t>CONSTRUCCION MULTICANCHA HURACAN , TIERRAS BLANCAS , COQUIMBO</t>
  </si>
  <si>
    <t>CONSTRUCCION INTERCONEXION VIAL R 41 PUERTO DE COQUIMBO</t>
  </si>
  <si>
    <t>CONSTRUCCION CENTRO COMUNITARIO POBL. GABRIELA MISTRAL , SALAMANCA</t>
  </si>
  <si>
    <t>CONSTRUCCION SOLUCIONES SANITARIAS S.P. NORTE PICHASCA , RIO HURTADO</t>
  </si>
  <si>
    <t>MEJORAMIENTO RUTA 41CH S : JUNTAS DEL TORO LA LAGUNA , VICUÑA ELQUI  (DISEÑO)</t>
  </si>
  <si>
    <t>AMPLIACION SISTEMA APR TULAHUEN SEC. CISTERNA NORTE , MONTE PATRIA</t>
  </si>
  <si>
    <t>AMPLIACION SISTEMA APR EL SAUCE DE MIRAMAR , COQUIMBO</t>
  </si>
  <si>
    <t>RESTAURACION MEJORAMIENTO MUSEO SITIO GABRIELA MISTRAL , MONTE GRANDE</t>
  </si>
  <si>
    <t>CONSTRUCCION PAVIMENTO CALLE CAMINO ANTIGUO A OVALLE , COQUIMBO</t>
  </si>
  <si>
    <t>MEJORAMIENTO INTEGRAL MAUSOLEO GABRIELA MISTRAL , MONTEGRANDE</t>
  </si>
  <si>
    <t>MEJORAMIENTO SISTEMA APR PELICANA , LA SERENA</t>
  </si>
  <si>
    <t>CONSTRUCCION CENTRO COMUNITARIO EN DIAGUITA VICUÑA</t>
  </si>
  <si>
    <t>REPOSICION RECINTO DEPORTIVO CENDYR OVALLE  ( DISEÑO )</t>
  </si>
  <si>
    <t>INSTALACION SIST.AUTOGENERACION ELECT.ESCUELAS, REG.COQUIMBO</t>
  </si>
  <si>
    <t>MEJORAMIENTO EMBARQUE-DESEMBARQUE DE PASAJEROS SECTOR PUNTA CHOROS</t>
  </si>
  <si>
    <t>CONSTRUCCION CENTRO CULTURAL PALACE , COQUIMBO</t>
  </si>
  <si>
    <t>REPOSICION RETEN DE CARABINEROS CHAÑARAL ALTO , MONTE PATRIA</t>
  </si>
  <si>
    <t>REPOSICION COMPLEJO DEPORTIVO PISCO ELQUI</t>
  </si>
  <si>
    <t>MEJORAMIENTO CAMINO VICUÑA- HURTADO</t>
  </si>
  <si>
    <t>AMPLIACION CASA DE GABRIELA MISTRAL , LAS COMPAÑIAS, LA SERENA</t>
  </si>
  <si>
    <t>CONSERVACION EDIFICIO DE LA GOBERNACION PROVINCIA DE LIMARI</t>
  </si>
  <si>
    <t>REPOSICION ESTADIO LA PORTADA , LA SERENA</t>
  </si>
  <si>
    <t>CONSTRUCCION PLANETARIO REGIONAL , REGION DE COQUIMBO</t>
  </si>
  <si>
    <t>CONSTRUCCION DE SOLUCIONES SANITARIAS DE CAIMANES , COMUNA LOS VILOS</t>
  </si>
  <si>
    <t>MEJORAMIENTO ESTADIO FISCAL DE ANDACOLLO</t>
  </si>
  <si>
    <t>CONSTRUCCION CUARTEL BICRIM LOS VILOS</t>
  </si>
  <si>
    <t>CONSTRUCCION CENTRO REGIONAL BIOTECNOLOGIA EN ZONAS ARIDAS - BIOTECZA</t>
  </si>
  <si>
    <t>MEJORAMIENTO ADUCCION SISTEMA APR. CHUNGUNGO , LA HIGUERA</t>
  </si>
  <si>
    <t>HABILITACION SEDE DENTRAL UNITARIA DE TRABAJADORES CUT , LA SERENA</t>
  </si>
  <si>
    <t>HABILITACION CASA DE LA MEMORIA COMUNA DE COQUIMBO</t>
  </si>
  <si>
    <t>SANEAMIENTO TITULOS DE DOMINIO URBANO RURAL REGION DE COQUIMBO</t>
  </si>
  <si>
    <t>CAPACITACION A DIRECTIVOS Y DOCENTES DE ESC. VULNERABLES REGION COQUIMBO.</t>
  </si>
  <si>
    <t>TRANFERENCIA DE CAPACIDADES PARA FORTALEC.ORG.REGANTAS RIO QUILIMARI , IV REGION</t>
  </si>
  <si>
    <t>DIFUSION INTERNACIONAL DE LA REGION DE COQUIMBO</t>
  </si>
  <si>
    <t>CAPACITACION COMUNICACIÓN ENTRE TRABAJADORES, EMPRESARIOS Y GOBIERNO IV REGION</t>
  </si>
  <si>
    <t>TRANSFERENCIA CAPACIDADES PARA ORG. DE REGANTAS SUBCUENCAS COQUIMBO</t>
  </si>
  <si>
    <t>PREVENCION CPN JOVENES QUE SE ORGANIZAN EN GRUPOS DE ESQUINAS</t>
  </si>
  <si>
    <t>CAPACITACION APOYO INCORPORAR BENEFICIOS EMB. CORRALES , CUENCA CHOAPA</t>
  </si>
  <si>
    <t>DIFUSION PLATAFORMA WEB GESTION GORE COQUIMBO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</si>
  <si>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</si>
  <si>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</si>
  <si>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</si>
  <si>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</si>
  <si>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Listado de Proyectos y/o Programas correspondientes al Subtítulo 31</t>
  </si>
  <si>
    <t>Ministerio del Interior - Región IV Coquimbo</t>
  </si>
  <si>
    <t>TOTAL IDENTIFICADO 31.01</t>
  </si>
  <si>
    <t>TOTAL IDENTIFICADO 31.02</t>
  </si>
  <si>
    <t>TOTAL IDENTIFICADO 31.03</t>
  </si>
  <si>
    <t>** Fecha de inicio y término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</si>
</sst>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15" fontId="5" fillId="0" borderId="10" xfId="49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8" fillId="0" borderId="0" xfId="0" applyFont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39" fillId="0" borderId="19" xfId="0" applyNumberFormat="1" applyFont="1" applyFill="1" applyBorder="1" applyAlignment="1">
      <alignment horizontal="center" vertical="center"/>
    </xf>
    <xf numFmtId="3" fontId="39" fillId="0" borderId="20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3" fontId="39" fillId="0" borderId="19" xfId="0" applyNumberFormat="1" applyFont="1" applyBorder="1" applyAlignment="1">
      <alignment horizontal="center" vertical="center"/>
    </xf>
    <xf numFmtId="3" fontId="39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2.421875" style="0" customWidth="1"/>
    <col min="2" max="2" width="70.8515625" style="0" bestFit="1" customWidth="1"/>
    <col min="3" max="3" width="23.421875" style="0" bestFit="1" customWidth="1"/>
    <col min="4" max="4" width="14.00390625" style="0" bestFit="1" customWidth="1"/>
    <col min="5" max="5" width="14.421875" style="0" customWidth="1"/>
    <col min="6" max="6" width="11.57421875" style="0" customWidth="1"/>
  </cols>
  <sheetData>
    <row r="2" spans="1:6" ht="21">
      <c r="A2" s="15" t="s">
        <v>262</v>
      </c>
      <c r="B2" s="15"/>
      <c r="C2" s="15"/>
      <c r="D2" s="15"/>
      <c r="E2" s="15"/>
      <c r="F2" s="15"/>
    </row>
    <row r="3" spans="1:6" ht="21">
      <c r="A3" s="15" t="s">
        <v>263</v>
      </c>
      <c r="B3" s="15"/>
      <c r="C3" s="15"/>
      <c r="D3" s="15"/>
      <c r="E3" s="15"/>
      <c r="F3" s="15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34" t="s">
        <v>5</v>
      </c>
      <c r="F6" s="35"/>
    </row>
    <row r="7" spans="1:6" ht="15">
      <c r="A7" s="6">
        <v>20141901</v>
      </c>
      <c r="B7" s="7" t="s">
        <v>6</v>
      </c>
      <c r="C7" s="11">
        <f>4440</f>
        <v>4440</v>
      </c>
      <c r="D7" s="8" t="s">
        <v>7</v>
      </c>
      <c r="E7" s="13">
        <v>37209</v>
      </c>
      <c r="F7" s="13">
        <v>40169</v>
      </c>
    </row>
    <row r="8" spans="1:6" ht="15">
      <c r="A8" s="6">
        <v>20158922</v>
      </c>
      <c r="B8" s="7" t="s">
        <v>8</v>
      </c>
      <c r="C8" s="11">
        <f>15750</f>
        <v>15750</v>
      </c>
      <c r="D8" s="8" t="s">
        <v>7</v>
      </c>
      <c r="E8" s="13">
        <v>38693</v>
      </c>
      <c r="F8" s="13">
        <v>40133</v>
      </c>
    </row>
    <row r="9" spans="1:6" ht="15">
      <c r="A9" s="6">
        <v>30037443</v>
      </c>
      <c r="B9" s="7" t="s">
        <v>9</v>
      </c>
      <c r="C9" s="11">
        <f>58142</f>
        <v>58142</v>
      </c>
      <c r="D9" s="8" t="s">
        <v>7</v>
      </c>
      <c r="E9" s="13">
        <v>39063</v>
      </c>
      <c r="F9" s="13">
        <v>40143</v>
      </c>
    </row>
    <row r="10" spans="1:6" ht="15">
      <c r="A10" s="6">
        <v>30064638</v>
      </c>
      <c r="B10" s="7" t="s">
        <v>10</v>
      </c>
      <c r="C10" s="11">
        <f>24077</f>
        <v>24077</v>
      </c>
      <c r="D10" s="8" t="s">
        <v>7</v>
      </c>
      <c r="E10" s="13">
        <v>40038</v>
      </c>
      <c r="F10" s="13">
        <v>40398</v>
      </c>
    </row>
    <row r="11" spans="1:6" ht="15">
      <c r="A11" s="6">
        <v>30073529</v>
      </c>
      <c r="B11" s="7" t="s">
        <v>11</v>
      </c>
      <c r="C11" s="11">
        <f>127160</f>
        <v>127160</v>
      </c>
      <c r="D11" s="8" t="s">
        <v>7</v>
      </c>
      <c r="E11" s="13">
        <v>39892</v>
      </c>
      <c r="F11" s="13">
        <v>40543</v>
      </c>
    </row>
    <row r="12" spans="1:6" ht="15">
      <c r="A12" s="6">
        <v>30073922</v>
      </c>
      <c r="B12" s="7" t="s">
        <v>12</v>
      </c>
      <c r="C12" s="11">
        <f>23302</f>
        <v>23302</v>
      </c>
      <c r="D12" s="8" t="s">
        <v>7</v>
      </c>
      <c r="E12" s="13">
        <v>40087</v>
      </c>
      <c r="F12" s="13">
        <v>40447</v>
      </c>
    </row>
    <row r="13" spans="1:6" ht="15">
      <c r="A13" s="6">
        <v>30076362</v>
      </c>
      <c r="B13" s="7" t="s">
        <v>13</v>
      </c>
      <c r="C13" s="11">
        <f>12011</f>
        <v>12011</v>
      </c>
      <c r="D13" s="8" t="s">
        <v>7</v>
      </c>
      <c r="E13" s="13">
        <v>39856</v>
      </c>
      <c r="F13" s="13">
        <v>40186</v>
      </c>
    </row>
    <row r="14" spans="1:6" ht="15">
      <c r="A14" s="6">
        <v>30078910</v>
      </c>
      <c r="B14" s="7" t="s">
        <v>14</v>
      </c>
      <c r="C14" s="11">
        <f>0</f>
        <v>0</v>
      </c>
      <c r="D14" s="8" t="s">
        <v>7</v>
      </c>
      <c r="E14" s="13">
        <v>40106</v>
      </c>
      <c r="F14" s="13">
        <v>40543</v>
      </c>
    </row>
    <row r="15" spans="1:6" ht="15">
      <c r="A15" s="6">
        <v>30085025</v>
      </c>
      <c r="B15" s="7" t="s">
        <v>15</v>
      </c>
      <c r="C15" s="11">
        <f>30000</f>
        <v>30000</v>
      </c>
      <c r="D15" s="9" t="s">
        <v>16</v>
      </c>
      <c r="E15" s="13"/>
      <c r="F15" s="13"/>
    </row>
    <row r="16" spans="1:6" ht="15">
      <c r="A16" s="6">
        <v>30087080</v>
      </c>
      <c r="B16" s="7" t="s">
        <v>17</v>
      </c>
      <c r="C16" s="11">
        <f>155+10040</f>
        <v>10195</v>
      </c>
      <c r="D16" s="9" t="s">
        <v>18</v>
      </c>
      <c r="E16" s="13"/>
      <c r="F16" s="13"/>
    </row>
    <row r="17" spans="1:6" ht="15">
      <c r="A17" s="36" t="s">
        <v>264</v>
      </c>
      <c r="B17" s="37"/>
      <c r="C17" s="40">
        <f>+SUM(C7:C16)</f>
        <v>305077</v>
      </c>
      <c r="D17" s="16"/>
      <c r="E17" s="17"/>
      <c r="F17" s="18"/>
    </row>
    <row r="18" spans="1:6" ht="15">
      <c r="A18" s="38"/>
      <c r="B18" s="39"/>
      <c r="C18" s="41"/>
      <c r="D18" s="19"/>
      <c r="E18" s="20"/>
      <c r="F18" s="21"/>
    </row>
    <row r="19" spans="1:6" ht="15">
      <c r="A19" s="6">
        <v>20064586</v>
      </c>
      <c r="B19" s="7" t="s">
        <v>19</v>
      </c>
      <c r="C19" s="11">
        <f>43+20000-20000</f>
        <v>43</v>
      </c>
      <c r="D19" s="9" t="s">
        <v>18</v>
      </c>
      <c r="E19" s="13"/>
      <c r="F19" s="13"/>
    </row>
    <row r="20" spans="1:6" ht="15">
      <c r="A20" s="6">
        <v>20072554</v>
      </c>
      <c r="B20" s="7" t="s">
        <v>20</v>
      </c>
      <c r="C20" s="11">
        <f>31256+12000+8000-31256-8000-6000</f>
        <v>6000</v>
      </c>
      <c r="D20" s="8" t="s">
        <v>7</v>
      </c>
      <c r="E20" s="13">
        <v>39734</v>
      </c>
      <c r="F20" s="13">
        <v>40221</v>
      </c>
    </row>
    <row r="21" spans="1:6" ht="15">
      <c r="A21" s="6">
        <v>20073110</v>
      </c>
      <c r="B21" s="7" t="s">
        <v>21</v>
      </c>
      <c r="C21" s="11">
        <f>48415</f>
        <v>48415</v>
      </c>
      <c r="D21" s="8" t="s">
        <v>7</v>
      </c>
      <c r="E21" s="13">
        <v>40057</v>
      </c>
      <c r="F21" s="13">
        <v>40417</v>
      </c>
    </row>
    <row r="22" spans="1:6" ht="15">
      <c r="A22" s="6">
        <v>20086716</v>
      </c>
      <c r="B22" s="7" t="s">
        <v>22</v>
      </c>
      <c r="C22" s="11">
        <f>124265</f>
        <v>124265</v>
      </c>
      <c r="D22" s="8" t="s">
        <v>7</v>
      </c>
      <c r="E22" s="13">
        <v>39233</v>
      </c>
      <c r="F22" s="13">
        <v>39881</v>
      </c>
    </row>
    <row r="23" spans="1:6" ht="15">
      <c r="A23" s="6">
        <v>20104119</v>
      </c>
      <c r="B23" s="7" t="s">
        <v>23</v>
      </c>
      <c r="C23" s="11">
        <f>51679</f>
        <v>51679</v>
      </c>
      <c r="D23" s="8" t="s">
        <v>7</v>
      </c>
      <c r="E23" s="13">
        <v>39330</v>
      </c>
      <c r="F23" s="13">
        <v>40030</v>
      </c>
    </row>
    <row r="24" spans="1:6" ht="15">
      <c r="A24" s="6">
        <v>20119832</v>
      </c>
      <c r="B24" s="7" t="s">
        <v>24</v>
      </c>
      <c r="C24" s="11">
        <f>89947</f>
        <v>89947</v>
      </c>
      <c r="D24" s="8" t="s">
        <v>7</v>
      </c>
      <c r="E24" s="13">
        <v>39995</v>
      </c>
      <c r="F24" s="13">
        <v>40355</v>
      </c>
    </row>
    <row r="25" spans="1:6" ht="15">
      <c r="A25" s="6">
        <v>20119870</v>
      </c>
      <c r="B25" s="7" t="s">
        <v>25</v>
      </c>
      <c r="C25" s="11">
        <f>1731+1000+10000-1000-10000</f>
        <v>1731</v>
      </c>
      <c r="D25" s="10" t="s">
        <v>26</v>
      </c>
      <c r="E25" s="13"/>
      <c r="F25" s="13"/>
    </row>
    <row r="26" spans="1:6" ht="15">
      <c r="A26" s="6">
        <v>20119878</v>
      </c>
      <c r="B26" s="7" t="s">
        <v>27</v>
      </c>
      <c r="C26" s="11">
        <f>28082</f>
        <v>28082</v>
      </c>
      <c r="D26" s="8" t="s">
        <v>7</v>
      </c>
      <c r="E26" s="13">
        <v>40057</v>
      </c>
      <c r="F26" s="13">
        <v>40417</v>
      </c>
    </row>
    <row r="27" spans="1:6" ht="15">
      <c r="A27" s="6">
        <v>20120395</v>
      </c>
      <c r="B27" s="7" t="s">
        <v>28</v>
      </c>
      <c r="C27" s="11">
        <f>6891</f>
        <v>6891</v>
      </c>
      <c r="D27" s="8" t="s">
        <v>7</v>
      </c>
      <c r="E27" s="13">
        <v>39444</v>
      </c>
      <c r="F27" s="13">
        <v>39872</v>
      </c>
    </row>
    <row r="28" spans="1:6" ht="15">
      <c r="A28" s="6">
        <v>20120639</v>
      </c>
      <c r="B28" s="7" t="s">
        <v>29</v>
      </c>
      <c r="C28" s="11">
        <f>20299+20000</f>
        <v>40299</v>
      </c>
      <c r="D28" s="8" t="s">
        <v>7</v>
      </c>
      <c r="E28" s="13">
        <v>40114</v>
      </c>
      <c r="F28" s="13">
        <v>40271</v>
      </c>
    </row>
    <row r="29" spans="1:6" ht="15">
      <c r="A29" s="6">
        <v>20120758</v>
      </c>
      <c r="B29" s="7" t="s">
        <v>30</v>
      </c>
      <c r="C29" s="11">
        <f>2500+5000</f>
        <v>7500</v>
      </c>
      <c r="D29" s="8" t="s">
        <v>7</v>
      </c>
      <c r="E29" s="13">
        <v>39752</v>
      </c>
      <c r="F29" s="13">
        <v>39962</v>
      </c>
    </row>
    <row r="30" spans="1:6" ht="15">
      <c r="A30" s="6">
        <v>20124613</v>
      </c>
      <c r="B30" s="7" t="s">
        <v>31</v>
      </c>
      <c r="C30" s="11">
        <f>107213</f>
        <v>107213</v>
      </c>
      <c r="D30" s="8" t="s">
        <v>7</v>
      </c>
      <c r="E30" s="13">
        <v>39995</v>
      </c>
      <c r="F30" s="13">
        <v>40355</v>
      </c>
    </row>
    <row r="31" spans="1:6" ht="15">
      <c r="A31" s="6">
        <v>20133773</v>
      </c>
      <c r="B31" s="7" t="s">
        <v>32</v>
      </c>
      <c r="C31" s="11">
        <f>3148+500000</f>
        <v>503148</v>
      </c>
      <c r="D31" s="9" t="s">
        <v>18</v>
      </c>
      <c r="E31" s="13"/>
      <c r="F31" s="13"/>
    </row>
    <row r="32" spans="1:6" ht="15">
      <c r="A32" s="6">
        <v>20138038</v>
      </c>
      <c r="B32" s="7" t="s">
        <v>33</v>
      </c>
      <c r="C32" s="11">
        <f>28041+89151+21064</f>
        <v>138256</v>
      </c>
      <c r="D32" s="8" t="s">
        <v>7</v>
      </c>
      <c r="E32" s="13">
        <v>39449</v>
      </c>
      <c r="F32" s="13">
        <v>39869</v>
      </c>
    </row>
    <row r="33" spans="1:6" ht="15">
      <c r="A33" s="6">
        <v>20139813</v>
      </c>
      <c r="B33" s="7" t="s">
        <v>34</v>
      </c>
      <c r="C33" s="11">
        <f>1348</f>
        <v>1348</v>
      </c>
      <c r="D33" s="8" t="s">
        <v>7</v>
      </c>
      <c r="E33" s="13">
        <v>39576</v>
      </c>
      <c r="F33" s="13">
        <v>39946</v>
      </c>
    </row>
    <row r="34" spans="1:6" ht="15">
      <c r="A34" s="6">
        <v>20141049</v>
      </c>
      <c r="B34" s="7" t="s">
        <v>35</v>
      </c>
      <c r="C34" s="11">
        <f>15063</f>
        <v>15063</v>
      </c>
      <c r="D34" s="8" t="s">
        <v>7</v>
      </c>
      <c r="E34" s="13">
        <v>40130</v>
      </c>
      <c r="F34" s="13">
        <v>40490</v>
      </c>
    </row>
    <row r="35" spans="1:6" ht="15">
      <c r="A35" s="6">
        <v>20144168</v>
      </c>
      <c r="B35" s="7" t="s">
        <v>36</v>
      </c>
      <c r="C35" s="11">
        <f>51508+100000</f>
        <v>151508</v>
      </c>
      <c r="D35" s="10" t="s">
        <v>26</v>
      </c>
      <c r="E35" s="13"/>
      <c r="F35" s="13"/>
    </row>
    <row r="36" spans="1:6" ht="15">
      <c r="A36" s="6">
        <v>20144180</v>
      </c>
      <c r="B36" s="7" t="s">
        <v>37</v>
      </c>
      <c r="C36" s="11">
        <f>48265</f>
        <v>48265</v>
      </c>
      <c r="D36" s="9" t="s">
        <v>18</v>
      </c>
      <c r="E36" s="13"/>
      <c r="F36" s="13"/>
    </row>
    <row r="37" spans="1:6" ht="15">
      <c r="A37" s="6">
        <v>20145433</v>
      </c>
      <c r="B37" s="7" t="s">
        <v>38</v>
      </c>
      <c r="C37" s="11">
        <f>300+15000-15000</f>
        <v>300</v>
      </c>
      <c r="D37" s="10" t="s">
        <v>26</v>
      </c>
      <c r="E37" s="13"/>
      <c r="F37" s="13"/>
    </row>
    <row r="38" spans="1:6" ht="15">
      <c r="A38" s="6">
        <v>20145618</v>
      </c>
      <c r="B38" s="7" t="s">
        <v>39</v>
      </c>
      <c r="C38" s="11">
        <f>1000+5000</f>
        <v>6000</v>
      </c>
      <c r="D38" s="10"/>
      <c r="E38" s="13"/>
      <c r="F38" s="13"/>
    </row>
    <row r="39" spans="1:6" ht="15">
      <c r="A39" s="6">
        <v>20146673</v>
      </c>
      <c r="B39" s="7" t="s">
        <v>40</v>
      </c>
      <c r="C39" s="11">
        <f>836813</f>
        <v>836813</v>
      </c>
      <c r="D39" s="8" t="s">
        <v>7</v>
      </c>
      <c r="E39" s="13">
        <v>39169</v>
      </c>
      <c r="F39" s="13">
        <v>39869</v>
      </c>
    </row>
    <row r="40" spans="1:6" ht="15">
      <c r="A40" s="6">
        <v>20149552</v>
      </c>
      <c r="B40" s="7" t="s">
        <v>41</v>
      </c>
      <c r="C40" s="11">
        <f>5000+1414</f>
        <v>6414</v>
      </c>
      <c r="D40" s="8" t="s">
        <v>7</v>
      </c>
      <c r="E40" s="13">
        <v>39629</v>
      </c>
      <c r="F40" s="13">
        <v>39989</v>
      </c>
    </row>
    <row r="41" spans="1:6" ht="15">
      <c r="A41" s="6">
        <v>20149554</v>
      </c>
      <c r="B41" s="7" t="s">
        <v>42</v>
      </c>
      <c r="C41" s="11">
        <f>1000</f>
        <v>1000</v>
      </c>
      <c r="D41" s="10" t="s">
        <v>26</v>
      </c>
      <c r="E41" s="13"/>
      <c r="F41" s="13"/>
    </row>
    <row r="42" spans="1:6" ht="15">
      <c r="A42" s="6">
        <v>20150284</v>
      </c>
      <c r="B42" s="7" t="s">
        <v>43</v>
      </c>
      <c r="C42" s="11">
        <f>1607+1000+10000-1000-10000</f>
        <v>1607</v>
      </c>
      <c r="D42" s="10" t="s">
        <v>26</v>
      </c>
      <c r="E42" s="13"/>
      <c r="F42" s="13"/>
    </row>
    <row r="43" spans="1:6" ht="15">
      <c r="A43" s="6">
        <v>20156099</v>
      </c>
      <c r="B43" s="7" t="s">
        <v>44</v>
      </c>
      <c r="C43" s="11">
        <f>1</f>
        <v>1</v>
      </c>
      <c r="D43" s="8" t="s">
        <v>7</v>
      </c>
      <c r="E43" s="13">
        <v>38866</v>
      </c>
      <c r="F43" s="13">
        <v>39507</v>
      </c>
    </row>
    <row r="44" spans="1:6" ht="15">
      <c r="A44" s="6">
        <v>20156171</v>
      </c>
      <c r="B44" s="7" t="s">
        <v>45</v>
      </c>
      <c r="C44" s="11">
        <f>63055</f>
        <v>63055</v>
      </c>
      <c r="D44" s="8" t="s">
        <v>7</v>
      </c>
      <c r="E44" s="13">
        <v>40057</v>
      </c>
      <c r="F44" s="13">
        <v>40417</v>
      </c>
    </row>
    <row r="45" spans="1:6" ht="15">
      <c r="A45" s="6">
        <v>20156194</v>
      </c>
      <c r="B45" s="7" t="s">
        <v>46</v>
      </c>
      <c r="C45" s="11">
        <f>1</f>
        <v>1</v>
      </c>
      <c r="D45" s="8" t="s">
        <v>7</v>
      </c>
      <c r="E45" s="13">
        <v>40087</v>
      </c>
      <c r="F45" s="13">
        <v>40447</v>
      </c>
    </row>
    <row r="46" spans="1:6" ht="15">
      <c r="A46" s="6">
        <v>20156420</v>
      </c>
      <c r="B46" s="7" t="s">
        <v>47</v>
      </c>
      <c r="C46" s="11">
        <f>1732+1000+10000-1000-10000</f>
        <v>1732</v>
      </c>
      <c r="D46" s="10" t="s">
        <v>26</v>
      </c>
      <c r="E46" s="13"/>
      <c r="F46" s="13"/>
    </row>
    <row r="47" spans="1:6" ht="15">
      <c r="A47" s="6">
        <v>20157251</v>
      </c>
      <c r="B47" s="7" t="s">
        <v>48</v>
      </c>
      <c r="C47" s="11">
        <f>8332+16+2412+500+161</f>
        <v>11421</v>
      </c>
      <c r="D47" s="8" t="s">
        <v>7</v>
      </c>
      <c r="E47" s="13">
        <v>39729</v>
      </c>
      <c r="F47" s="13">
        <v>39939</v>
      </c>
    </row>
    <row r="48" spans="1:6" ht="15">
      <c r="A48" s="6">
        <v>20159126</v>
      </c>
      <c r="B48" s="7" t="s">
        <v>49</v>
      </c>
      <c r="C48" s="11">
        <f>3000+567+5500</f>
        <v>9067</v>
      </c>
      <c r="D48" s="8" t="s">
        <v>7</v>
      </c>
      <c r="E48" s="13">
        <v>38662</v>
      </c>
      <c r="F48" s="13">
        <v>42262</v>
      </c>
    </row>
    <row r="49" spans="1:6" ht="15">
      <c r="A49" s="6">
        <v>20159433</v>
      </c>
      <c r="B49" s="7" t="s">
        <v>50</v>
      </c>
      <c r="C49" s="11">
        <f>1192+1</f>
        <v>1193</v>
      </c>
      <c r="D49" s="8" t="s">
        <v>7</v>
      </c>
      <c r="E49" s="13">
        <v>39104</v>
      </c>
      <c r="F49" s="13">
        <v>39468</v>
      </c>
    </row>
    <row r="50" spans="1:6" ht="15">
      <c r="A50" s="6">
        <v>20159561</v>
      </c>
      <c r="B50" s="7" t="s">
        <v>51</v>
      </c>
      <c r="C50" s="11">
        <f>1</f>
        <v>1</v>
      </c>
      <c r="D50" s="8" t="s">
        <v>7</v>
      </c>
      <c r="E50" s="13">
        <v>39052</v>
      </c>
      <c r="F50" s="13">
        <v>39502</v>
      </c>
    </row>
    <row r="51" spans="1:6" ht="15">
      <c r="A51" s="6">
        <v>20159588</v>
      </c>
      <c r="B51" s="7" t="s">
        <v>52</v>
      </c>
      <c r="C51" s="11">
        <f>480</f>
        <v>480</v>
      </c>
      <c r="D51" s="8"/>
      <c r="E51" s="13"/>
      <c r="F51" s="13"/>
    </row>
    <row r="52" spans="1:6" ht="15">
      <c r="A52" s="6">
        <v>20159597</v>
      </c>
      <c r="B52" s="7" t="s">
        <v>53</v>
      </c>
      <c r="C52" s="11">
        <f>71</f>
        <v>71</v>
      </c>
      <c r="D52" s="8" t="s">
        <v>7</v>
      </c>
      <c r="E52" s="13">
        <v>39547</v>
      </c>
      <c r="F52" s="13">
        <v>39850</v>
      </c>
    </row>
    <row r="53" spans="1:6" ht="15">
      <c r="A53" s="6">
        <v>20159757</v>
      </c>
      <c r="B53" s="7" t="s">
        <v>54</v>
      </c>
      <c r="C53" s="11">
        <f>3554</f>
        <v>3554</v>
      </c>
      <c r="D53" s="9" t="s">
        <v>18</v>
      </c>
      <c r="E53" s="13"/>
      <c r="F53" s="13"/>
    </row>
    <row r="54" spans="1:6" ht="15">
      <c r="A54" s="6">
        <v>20168725</v>
      </c>
      <c r="B54" s="7" t="s">
        <v>55</v>
      </c>
      <c r="C54" s="11">
        <f>98240+32512</f>
        <v>130752</v>
      </c>
      <c r="D54" s="8" t="s">
        <v>7</v>
      </c>
      <c r="E54" s="13">
        <v>39937</v>
      </c>
      <c r="F54" s="13">
        <v>40156</v>
      </c>
    </row>
    <row r="55" spans="1:6" ht="15">
      <c r="A55" s="6">
        <v>20168763</v>
      </c>
      <c r="B55" s="7" t="s">
        <v>56</v>
      </c>
      <c r="C55" s="11">
        <f>778</f>
        <v>778</v>
      </c>
      <c r="D55" s="9" t="s">
        <v>18</v>
      </c>
      <c r="E55" s="13"/>
      <c r="F55" s="13"/>
    </row>
    <row r="56" spans="1:6" ht="15">
      <c r="A56" s="6">
        <v>20169159</v>
      </c>
      <c r="B56" s="7" t="s">
        <v>57</v>
      </c>
      <c r="C56" s="11">
        <f>28691+3795+412</f>
        <v>32898</v>
      </c>
      <c r="D56" s="8" t="s">
        <v>7</v>
      </c>
      <c r="E56" s="13">
        <v>39632</v>
      </c>
      <c r="F56" s="13">
        <v>39843</v>
      </c>
    </row>
    <row r="57" spans="1:6" ht="15">
      <c r="A57" s="6">
        <v>20169592</v>
      </c>
      <c r="B57" s="7" t="s">
        <v>58</v>
      </c>
      <c r="C57" s="11">
        <f>18415+10915+173946+138646+20177+19000+183845</f>
        <v>564944</v>
      </c>
      <c r="D57" s="8" t="s">
        <v>7</v>
      </c>
      <c r="E57" s="13">
        <v>39449</v>
      </c>
      <c r="F57" s="13">
        <v>39929</v>
      </c>
    </row>
    <row r="58" spans="1:6" ht="15">
      <c r="A58" s="6">
        <v>20170299</v>
      </c>
      <c r="B58" s="7" t="s">
        <v>59</v>
      </c>
      <c r="C58" s="11">
        <f>60760+5468+16720+301</f>
        <v>83249</v>
      </c>
      <c r="D58" s="8" t="s">
        <v>7</v>
      </c>
      <c r="E58" s="13">
        <v>39882</v>
      </c>
      <c r="F58" s="13">
        <v>40182</v>
      </c>
    </row>
    <row r="59" spans="1:6" ht="15">
      <c r="A59" s="6">
        <v>20171127</v>
      </c>
      <c r="B59" s="7" t="s">
        <v>60</v>
      </c>
      <c r="C59" s="11">
        <f>152543+23102</f>
        <v>175645</v>
      </c>
      <c r="D59" s="8" t="s">
        <v>7</v>
      </c>
      <c r="E59" s="13">
        <v>39938</v>
      </c>
      <c r="F59" s="13">
        <v>40298</v>
      </c>
    </row>
    <row r="60" spans="1:6" ht="15">
      <c r="A60" s="6">
        <v>20171344</v>
      </c>
      <c r="B60" s="7" t="s">
        <v>61</v>
      </c>
      <c r="C60" s="11">
        <f>1</f>
        <v>1</v>
      </c>
      <c r="D60" s="8" t="s">
        <v>7</v>
      </c>
      <c r="E60" s="13">
        <v>39094</v>
      </c>
      <c r="F60" s="13">
        <v>39597</v>
      </c>
    </row>
    <row r="61" spans="1:6" ht="15">
      <c r="A61" s="6">
        <v>20171721</v>
      </c>
      <c r="B61" s="7" t="s">
        <v>62</v>
      </c>
      <c r="C61" s="11">
        <f>13931</f>
        <v>13931</v>
      </c>
      <c r="D61" s="8" t="s">
        <v>7</v>
      </c>
      <c r="E61" s="13">
        <v>39696</v>
      </c>
      <c r="F61" s="13">
        <v>39990</v>
      </c>
    </row>
    <row r="62" spans="1:6" ht="15">
      <c r="A62" s="6">
        <v>20171782</v>
      </c>
      <c r="B62" s="7" t="s">
        <v>63</v>
      </c>
      <c r="C62" s="11">
        <f>1584</f>
        <v>1584</v>
      </c>
      <c r="D62" s="9" t="s">
        <v>18</v>
      </c>
      <c r="E62" s="13"/>
      <c r="F62" s="13"/>
    </row>
    <row r="63" spans="1:6" ht="15">
      <c r="A63" s="6">
        <v>20174623</v>
      </c>
      <c r="B63" s="7" t="s">
        <v>64</v>
      </c>
      <c r="C63" s="11">
        <f>804</f>
        <v>804</v>
      </c>
      <c r="D63" s="8" t="s">
        <v>7</v>
      </c>
      <c r="E63" s="13">
        <v>39535</v>
      </c>
      <c r="F63" s="13">
        <v>39955</v>
      </c>
    </row>
    <row r="64" spans="1:6" ht="15">
      <c r="A64" s="6">
        <v>20176913</v>
      </c>
      <c r="B64" s="7" t="s">
        <v>65</v>
      </c>
      <c r="C64" s="11">
        <f>6514+643</f>
        <v>7157</v>
      </c>
      <c r="D64" s="8" t="s">
        <v>7</v>
      </c>
      <c r="E64" s="13">
        <v>39231</v>
      </c>
      <c r="F64" s="13">
        <v>40298</v>
      </c>
    </row>
    <row r="65" spans="1:6" ht="15">
      <c r="A65" s="6">
        <v>20177737</v>
      </c>
      <c r="B65" s="7" t="s">
        <v>66</v>
      </c>
      <c r="C65" s="11">
        <f>34716</f>
        <v>34716</v>
      </c>
      <c r="D65" s="8" t="s">
        <v>7</v>
      </c>
      <c r="E65" s="13">
        <v>40200</v>
      </c>
      <c r="F65" s="13">
        <v>40590</v>
      </c>
    </row>
    <row r="66" spans="1:6" ht="15">
      <c r="A66" s="6">
        <v>20181893</v>
      </c>
      <c r="B66" s="7" t="s">
        <v>67</v>
      </c>
      <c r="C66" s="11">
        <f>1532+120000+3062+50000</f>
        <v>174594</v>
      </c>
      <c r="D66" s="8" t="s">
        <v>7</v>
      </c>
      <c r="E66" s="13">
        <v>40189</v>
      </c>
      <c r="F66" s="13">
        <v>40598</v>
      </c>
    </row>
    <row r="67" spans="1:6" ht="15">
      <c r="A67" s="6">
        <v>20183056</v>
      </c>
      <c r="B67" s="7" t="s">
        <v>68</v>
      </c>
      <c r="C67" s="11">
        <f>45452+24652+649010+20000+196000+5000</f>
        <v>940114</v>
      </c>
      <c r="D67" s="8" t="s">
        <v>7</v>
      </c>
      <c r="E67" s="13">
        <v>39693</v>
      </c>
      <c r="F67" s="13">
        <v>40113</v>
      </c>
    </row>
    <row r="68" spans="1:6" ht="15">
      <c r="A68" s="6">
        <v>20185034</v>
      </c>
      <c r="B68" s="7" t="s">
        <v>69</v>
      </c>
      <c r="C68" s="11">
        <f>121236</f>
        <v>121236</v>
      </c>
      <c r="D68" s="8" t="s">
        <v>7</v>
      </c>
      <c r="E68" s="13">
        <v>39686</v>
      </c>
      <c r="F68" s="13">
        <v>39881</v>
      </c>
    </row>
    <row r="69" spans="1:6" ht="15">
      <c r="A69" s="6">
        <v>20185856</v>
      </c>
      <c r="B69" s="7" t="s">
        <v>70</v>
      </c>
      <c r="C69" s="11">
        <f>1</f>
        <v>1</v>
      </c>
      <c r="D69" s="8" t="s">
        <v>7</v>
      </c>
      <c r="E69" s="13">
        <v>39379</v>
      </c>
      <c r="F69" s="13">
        <v>40071</v>
      </c>
    </row>
    <row r="70" spans="1:6" ht="15">
      <c r="A70" s="6">
        <v>20186912</v>
      </c>
      <c r="B70" s="7" t="s">
        <v>71</v>
      </c>
      <c r="C70" s="11">
        <f>41300+70595+660</f>
        <v>112555</v>
      </c>
      <c r="D70" s="8" t="s">
        <v>7</v>
      </c>
      <c r="E70" s="13">
        <v>39934</v>
      </c>
      <c r="F70" s="13">
        <v>40264</v>
      </c>
    </row>
    <row r="71" spans="1:6" ht="15">
      <c r="A71" s="6">
        <v>20187113</v>
      </c>
      <c r="B71" s="7" t="s">
        <v>72</v>
      </c>
      <c r="C71" s="11">
        <f>12147+10000+10000</f>
        <v>32147</v>
      </c>
      <c r="D71" s="8" t="s">
        <v>7</v>
      </c>
      <c r="E71" s="13">
        <v>40142</v>
      </c>
      <c r="F71" s="13">
        <v>40292</v>
      </c>
    </row>
    <row r="72" spans="1:6" ht="15">
      <c r="A72" s="6">
        <v>20187247</v>
      </c>
      <c r="B72" s="7" t="s">
        <v>73</v>
      </c>
      <c r="C72" s="11">
        <f>198681+600+150000</f>
        <v>349281</v>
      </c>
      <c r="D72" s="8" t="s">
        <v>7</v>
      </c>
      <c r="E72" s="13">
        <v>39995</v>
      </c>
      <c r="F72" s="13">
        <v>40554</v>
      </c>
    </row>
    <row r="73" spans="1:6" ht="15">
      <c r="A73" s="6">
        <v>20187676</v>
      </c>
      <c r="B73" s="7" t="s">
        <v>74</v>
      </c>
      <c r="C73" s="11">
        <f>185648+450000+9075</f>
        <v>644723</v>
      </c>
      <c r="D73" s="8" t="s">
        <v>7</v>
      </c>
      <c r="E73" s="13">
        <v>39798</v>
      </c>
      <c r="F73" s="13">
        <v>40278</v>
      </c>
    </row>
    <row r="74" spans="1:6" ht="15">
      <c r="A74" s="6">
        <v>20187825</v>
      </c>
      <c r="B74" s="7" t="s">
        <v>75</v>
      </c>
      <c r="C74" s="11">
        <f>84648+80000</f>
        <v>164648</v>
      </c>
      <c r="D74" s="8" t="s">
        <v>7</v>
      </c>
      <c r="E74" s="13">
        <v>39576</v>
      </c>
      <c r="F74" s="13">
        <v>39996</v>
      </c>
    </row>
    <row r="75" spans="1:6" ht="15">
      <c r="A75" s="6">
        <v>20188621</v>
      </c>
      <c r="B75" s="7" t="s">
        <v>76</v>
      </c>
      <c r="C75" s="11">
        <f>1169+1000+420</f>
        <v>2589</v>
      </c>
      <c r="D75" s="8" t="s">
        <v>7</v>
      </c>
      <c r="E75" s="13">
        <v>39741</v>
      </c>
      <c r="F75" s="13">
        <v>39961</v>
      </c>
    </row>
    <row r="76" spans="1:6" ht="15">
      <c r="A76" s="6">
        <v>20188777</v>
      </c>
      <c r="B76" s="7" t="s">
        <v>77</v>
      </c>
      <c r="C76" s="11">
        <f>5492+10000+58000+44358</f>
        <v>117850</v>
      </c>
      <c r="D76" s="8" t="s">
        <v>7</v>
      </c>
      <c r="E76" s="13">
        <v>39734</v>
      </c>
      <c r="F76" s="13">
        <v>40109</v>
      </c>
    </row>
    <row r="77" spans="1:6" ht="15">
      <c r="A77" s="6">
        <v>20190041</v>
      </c>
      <c r="B77" s="7" t="s">
        <v>78</v>
      </c>
      <c r="C77" s="11">
        <f>1714+2000+34753</f>
        <v>38467</v>
      </c>
      <c r="D77" s="9" t="s">
        <v>18</v>
      </c>
      <c r="E77" s="13"/>
      <c r="F77" s="13"/>
    </row>
    <row r="78" spans="1:6" ht="15">
      <c r="A78" s="6">
        <v>20190075</v>
      </c>
      <c r="B78" s="7" t="s">
        <v>79</v>
      </c>
      <c r="C78" s="11">
        <f>41547</f>
        <v>41547</v>
      </c>
      <c r="D78" s="8" t="s">
        <v>7</v>
      </c>
      <c r="E78" s="13">
        <v>40238</v>
      </c>
      <c r="F78" s="13">
        <v>40598</v>
      </c>
    </row>
    <row r="79" spans="1:6" ht="15">
      <c r="A79" s="6">
        <v>20191550</v>
      </c>
      <c r="B79" s="7" t="s">
        <v>80</v>
      </c>
      <c r="C79" s="11">
        <f>182000-181000</f>
        <v>1000</v>
      </c>
      <c r="D79" s="9" t="s">
        <v>18</v>
      </c>
      <c r="E79" s="13"/>
      <c r="F79" s="13"/>
    </row>
    <row r="80" spans="1:6" ht="15">
      <c r="A80" s="6">
        <v>20191836</v>
      </c>
      <c r="B80" s="7" t="s">
        <v>81</v>
      </c>
      <c r="C80" s="11">
        <f>4939+5000+50000</f>
        <v>59939</v>
      </c>
      <c r="D80" s="9" t="s">
        <v>18</v>
      </c>
      <c r="E80" s="13"/>
      <c r="F80" s="13"/>
    </row>
    <row r="81" spans="1:6" ht="15">
      <c r="A81" s="6">
        <v>20192301</v>
      </c>
      <c r="B81" s="7" t="s">
        <v>82</v>
      </c>
      <c r="C81" s="11">
        <f>1</f>
        <v>1</v>
      </c>
      <c r="D81" s="9" t="s">
        <v>16</v>
      </c>
      <c r="E81" s="13"/>
      <c r="F81" s="13"/>
    </row>
    <row r="82" spans="1:6" ht="15">
      <c r="A82" s="6">
        <v>20192600</v>
      </c>
      <c r="B82" s="7" t="s">
        <v>83</v>
      </c>
      <c r="C82" s="11">
        <f>1</f>
        <v>1</v>
      </c>
      <c r="D82" s="8" t="s">
        <v>7</v>
      </c>
      <c r="E82" s="13">
        <v>39421</v>
      </c>
      <c r="F82" s="13">
        <v>39635</v>
      </c>
    </row>
    <row r="83" spans="1:6" ht="15">
      <c r="A83" s="6">
        <v>20192798</v>
      </c>
      <c r="B83" s="7" t="s">
        <v>84</v>
      </c>
      <c r="C83" s="11">
        <f>225+20000-20000</f>
        <v>225</v>
      </c>
      <c r="D83" s="9" t="s">
        <v>18</v>
      </c>
      <c r="E83" s="13"/>
      <c r="F83" s="13"/>
    </row>
    <row r="84" spans="1:6" ht="15">
      <c r="A84" s="6">
        <v>30001032</v>
      </c>
      <c r="B84" s="7" t="s">
        <v>85</v>
      </c>
      <c r="C84" s="11">
        <f>1392+6687</f>
        <v>8079</v>
      </c>
      <c r="D84" s="9" t="s">
        <v>18</v>
      </c>
      <c r="E84" s="13"/>
      <c r="F84" s="13"/>
    </row>
    <row r="85" spans="1:6" ht="15">
      <c r="A85" s="6">
        <v>30001740</v>
      </c>
      <c r="B85" s="7" t="s">
        <v>86</v>
      </c>
      <c r="C85" s="11">
        <f>461+467</f>
        <v>928</v>
      </c>
      <c r="D85" s="8" t="s">
        <v>7</v>
      </c>
      <c r="E85" s="13">
        <v>39665</v>
      </c>
      <c r="F85" s="13">
        <v>40268</v>
      </c>
    </row>
    <row r="86" spans="1:6" ht="15">
      <c r="A86" s="6">
        <v>30003885</v>
      </c>
      <c r="B86" s="7" t="s">
        <v>87</v>
      </c>
      <c r="C86" s="11">
        <f>575+8000+4449+49219</f>
        <v>62243</v>
      </c>
      <c r="D86" s="8" t="s">
        <v>7</v>
      </c>
      <c r="E86" s="13">
        <v>39567</v>
      </c>
      <c r="F86" s="13">
        <v>40257</v>
      </c>
    </row>
    <row r="87" spans="1:6" ht="15">
      <c r="A87" s="6">
        <v>30004624</v>
      </c>
      <c r="B87" s="7" t="s">
        <v>88</v>
      </c>
      <c r="C87" s="11">
        <f>59489+30000-50000-20000</f>
        <v>19489</v>
      </c>
      <c r="D87" s="8" t="s">
        <v>7</v>
      </c>
      <c r="E87" s="13">
        <v>39216</v>
      </c>
      <c r="F87" s="13">
        <v>39909</v>
      </c>
    </row>
    <row r="88" spans="1:6" ht="15">
      <c r="A88" s="6">
        <v>30005191</v>
      </c>
      <c r="B88" s="7" t="s">
        <v>89</v>
      </c>
      <c r="C88" s="11">
        <f>1</f>
        <v>1</v>
      </c>
      <c r="D88" s="9" t="s">
        <v>18</v>
      </c>
      <c r="E88" s="13"/>
      <c r="F88" s="13"/>
    </row>
    <row r="89" spans="1:6" ht="15">
      <c r="A89" s="6">
        <v>30005757</v>
      </c>
      <c r="B89" s="7" t="s">
        <v>90</v>
      </c>
      <c r="C89" s="11">
        <f>1552</f>
        <v>1552</v>
      </c>
      <c r="D89" s="8"/>
      <c r="E89" s="13"/>
      <c r="F89" s="13"/>
    </row>
    <row r="90" spans="1:6" ht="15">
      <c r="A90" s="6">
        <v>30006610</v>
      </c>
      <c r="B90" s="7" t="s">
        <v>91</v>
      </c>
      <c r="C90" s="11">
        <f>3800</f>
        <v>3800</v>
      </c>
      <c r="D90" s="8" t="s">
        <v>7</v>
      </c>
      <c r="E90" s="13">
        <v>39965</v>
      </c>
      <c r="F90" s="13">
        <v>40325</v>
      </c>
    </row>
    <row r="91" spans="1:6" ht="15">
      <c r="A91" s="6">
        <v>30006756</v>
      </c>
      <c r="B91" s="7" t="s">
        <v>92</v>
      </c>
      <c r="C91" s="11">
        <f>4109+2000+10000</f>
        <v>16109</v>
      </c>
      <c r="D91" s="9" t="s">
        <v>18</v>
      </c>
      <c r="E91" s="13"/>
      <c r="F91" s="13"/>
    </row>
    <row r="92" spans="1:6" ht="15">
      <c r="A92" s="6">
        <v>30006885</v>
      </c>
      <c r="B92" s="7" t="s">
        <v>93</v>
      </c>
      <c r="C92" s="11">
        <f>9151</f>
        <v>9151</v>
      </c>
      <c r="D92" s="9" t="s">
        <v>18</v>
      </c>
      <c r="E92" s="13"/>
      <c r="F92" s="13"/>
    </row>
    <row r="93" spans="1:6" ht="15">
      <c r="A93" s="6">
        <v>30007612</v>
      </c>
      <c r="B93" s="7" t="s">
        <v>94</v>
      </c>
      <c r="C93" s="11">
        <f>6000</f>
        <v>6000</v>
      </c>
      <c r="D93" s="8" t="s">
        <v>7</v>
      </c>
      <c r="E93" s="13">
        <v>39940</v>
      </c>
      <c r="F93" s="13">
        <v>40194</v>
      </c>
    </row>
    <row r="94" spans="1:6" ht="15">
      <c r="A94" s="6">
        <v>30007783</v>
      </c>
      <c r="B94" s="7" t="s">
        <v>95</v>
      </c>
      <c r="C94" s="11">
        <f>352</f>
        <v>352</v>
      </c>
      <c r="D94" s="8" t="s">
        <v>7</v>
      </c>
      <c r="E94" s="13">
        <v>39290</v>
      </c>
      <c r="F94" s="13">
        <v>39666</v>
      </c>
    </row>
    <row r="95" spans="1:6" ht="15">
      <c r="A95" s="6">
        <v>30008987</v>
      </c>
      <c r="B95" s="7" t="s">
        <v>96</v>
      </c>
      <c r="C95" s="11">
        <f>1</f>
        <v>1</v>
      </c>
      <c r="D95" s="8" t="s">
        <v>7</v>
      </c>
      <c r="E95" s="13">
        <v>39998</v>
      </c>
      <c r="F95" s="13">
        <v>40358</v>
      </c>
    </row>
    <row r="96" spans="1:6" ht="15">
      <c r="A96" s="6">
        <v>30014482</v>
      </c>
      <c r="B96" s="7" t="s">
        <v>97</v>
      </c>
      <c r="C96" s="11">
        <f>1761+3500</f>
        <v>5261</v>
      </c>
      <c r="D96" s="8" t="s">
        <v>7</v>
      </c>
      <c r="E96" s="13">
        <v>39888</v>
      </c>
      <c r="F96" s="13">
        <v>40183</v>
      </c>
    </row>
    <row r="97" spans="1:6" ht="15">
      <c r="A97" s="6">
        <v>30028742</v>
      </c>
      <c r="B97" s="7" t="s">
        <v>98</v>
      </c>
      <c r="C97" s="11">
        <f>183438+1945+5445+250000+211140</f>
        <v>651968</v>
      </c>
      <c r="D97" s="8" t="s">
        <v>7</v>
      </c>
      <c r="E97" s="13">
        <v>40071</v>
      </c>
      <c r="F97" s="13">
        <v>40378</v>
      </c>
    </row>
    <row r="98" spans="1:6" ht="15">
      <c r="A98" s="6">
        <v>30029612</v>
      </c>
      <c r="B98" s="7" t="s">
        <v>99</v>
      </c>
      <c r="C98" s="11">
        <f>55787+31148+1000+1476+113000</f>
        <v>202411</v>
      </c>
      <c r="D98" s="8" t="s">
        <v>7</v>
      </c>
      <c r="E98" s="13">
        <v>39728</v>
      </c>
      <c r="F98" s="13">
        <v>40088</v>
      </c>
    </row>
    <row r="99" spans="1:6" ht="15">
      <c r="A99" s="6">
        <v>30029624</v>
      </c>
      <c r="B99" s="7" t="s">
        <v>100</v>
      </c>
      <c r="C99" s="11">
        <f>53302+10000</f>
        <v>63302</v>
      </c>
      <c r="D99" s="8" t="s">
        <v>7</v>
      </c>
      <c r="E99" s="13">
        <v>39643</v>
      </c>
      <c r="F99" s="13">
        <v>39943</v>
      </c>
    </row>
    <row r="100" spans="1:6" ht="15">
      <c r="A100" s="6">
        <v>30029625</v>
      </c>
      <c r="B100" s="7" t="s">
        <v>101</v>
      </c>
      <c r="C100" s="11">
        <f>1000+4068</f>
        <v>5068</v>
      </c>
      <c r="D100" s="8"/>
      <c r="E100" s="13"/>
      <c r="F100" s="13"/>
    </row>
    <row r="101" spans="1:6" ht="15">
      <c r="A101" s="6">
        <v>30029627</v>
      </c>
      <c r="B101" s="7" t="s">
        <v>102</v>
      </c>
      <c r="C101" s="11">
        <f>16994</f>
        <v>16994</v>
      </c>
      <c r="D101" s="8" t="s">
        <v>7</v>
      </c>
      <c r="E101" s="13">
        <v>39162</v>
      </c>
      <c r="F101" s="13">
        <v>39672</v>
      </c>
    </row>
    <row r="102" spans="1:6" ht="15">
      <c r="A102" s="6">
        <v>30029628</v>
      </c>
      <c r="B102" s="7" t="s">
        <v>103</v>
      </c>
      <c r="C102" s="11">
        <f>1000+70506</f>
        <v>71506</v>
      </c>
      <c r="D102" s="8" t="s">
        <v>7</v>
      </c>
      <c r="E102" s="13">
        <v>40151</v>
      </c>
      <c r="F102" s="13">
        <v>40451</v>
      </c>
    </row>
    <row r="103" spans="1:6" ht="15">
      <c r="A103" s="6">
        <v>30029670</v>
      </c>
      <c r="B103" s="7" t="s">
        <v>104</v>
      </c>
      <c r="C103" s="11">
        <f>1000+58891</f>
        <v>59891</v>
      </c>
      <c r="D103" s="8" t="s">
        <v>7</v>
      </c>
      <c r="E103" s="13">
        <v>40252</v>
      </c>
      <c r="F103" s="13">
        <v>40522</v>
      </c>
    </row>
    <row r="104" spans="1:6" ht="15">
      <c r="A104" s="6">
        <v>30029671</v>
      </c>
      <c r="B104" s="7" t="s">
        <v>105</v>
      </c>
      <c r="C104" s="11">
        <f>38038</f>
        <v>38038</v>
      </c>
      <c r="D104" s="8" t="s">
        <v>7</v>
      </c>
      <c r="E104" s="13">
        <v>39539</v>
      </c>
      <c r="F104" s="13">
        <v>39839</v>
      </c>
    </row>
    <row r="105" spans="1:6" ht="15">
      <c r="A105" s="6">
        <v>30032936</v>
      </c>
      <c r="B105" s="7" t="s">
        <v>106</v>
      </c>
      <c r="C105" s="11">
        <f>300+10000</f>
        <v>10300</v>
      </c>
      <c r="D105" s="8" t="s">
        <v>7</v>
      </c>
      <c r="E105" s="13">
        <v>40168</v>
      </c>
      <c r="F105" s="13">
        <v>40528</v>
      </c>
    </row>
    <row r="106" spans="1:6" ht="15">
      <c r="A106" s="6">
        <v>30033238</v>
      </c>
      <c r="B106" s="7" t="s">
        <v>107</v>
      </c>
      <c r="C106" s="11">
        <f>1</f>
        <v>1</v>
      </c>
      <c r="D106" s="8" t="s">
        <v>7</v>
      </c>
      <c r="E106" s="13">
        <v>39307</v>
      </c>
      <c r="F106" s="13">
        <v>39505</v>
      </c>
    </row>
    <row r="107" spans="1:6" ht="15">
      <c r="A107" s="6">
        <v>30033896</v>
      </c>
      <c r="B107" s="7" t="s">
        <v>108</v>
      </c>
      <c r="C107" s="11">
        <f>180+45000+22854-18796</f>
        <v>49238</v>
      </c>
      <c r="D107" s="8" t="s">
        <v>7</v>
      </c>
      <c r="E107" s="13">
        <v>39873</v>
      </c>
      <c r="F107" s="13">
        <v>40173</v>
      </c>
    </row>
    <row r="108" spans="1:6" ht="15">
      <c r="A108" s="6">
        <v>30035717</v>
      </c>
      <c r="B108" s="7" t="s">
        <v>109</v>
      </c>
      <c r="C108" s="11">
        <f>1</f>
        <v>1</v>
      </c>
      <c r="D108" s="8" t="s">
        <v>7</v>
      </c>
      <c r="E108" s="13">
        <v>39998</v>
      </c>
      <c r="F108" s="13">
        <v>40358</v>
      </c>
    </row>
    <row r="109" spans="1:6" ht="15">
      <c r="A109" s="6">
        <v>30035718</v>
      </c>
      <c r="B109" s="7" t="s">
        <v>110</v>
      </c>
      <c r="C109" s="11">
        <f>1000+4000</f>
        <v>5000</v>
      </c>
      <c r="D109" s="8" t="s">
        <v>7</v>
      </c>
      <c r="E109" s="13">
        <v>40109</v>
      </c>
      <c r="F109" s="13">
        <v>40319</v>
      </c>
    </row>
    <row r="110" spans="1:6" ht="15">
      <c r="A110" s="6">
        <v>30035795</v>
      </c>
      <c r="B110" s="7" t="s">
        <v>111</v>
      </c>
      <c r="C110" s="11">
        <f>1337</f>
        <v>1337</v>
      </c>
      <c r="D110" s="8" t="s">
        <v>7</v>
      </c>
      <c r="E110" s="13">
        <v>39548</v>
      </c>
      <c r="F110" s="13">
        <v>39803</v>
      </c>
    </row>
    <row r="111" spans="1:6" ht="15">
      <c r="A111" s="6">
        <v>30035860</v>
      </c>
      <c r="B111" s="7" t="s">
        <v>112</v>
      </c>
      <c r="C111" s="11">
        <f>1870+2579</f>
        <v>4449</v>
      </c>
      <c r="D111" s="8" t="s">
        <v>7</v>
      </c>
      <c r="E111" s="13">
        <v>39617</v>
      </c>
      <c r="F111" s="13">
        <v>39952</v>
      </c>
    </row>
    <row r="112" spans="1:6" ht="15">
      <c r="A112" s="6">
        <v>30035880</v>
      </c>
      <c r="B112" s="7" t="s">
        <v>113</v>
      </c>
      <c r="C112" s="11">
        <f>2127</f>
        <v>2127</v>
      </c>
      <c r="D112" s="8" t="s">
        <v>7</v>
      </c>
      <c r="E112" s="13">
        <v>39716</v>
      </c>
      <c r="F112" s="13">
        <v>39866</v>
      </c>
    </row>
    <row r="113" spans="1:6" ht="15">
      <c r="A113" s="6">
        <v>30036055</v>
      </c>
      <c r="B113" s="7" t="s">
        <v>114</v>
      </c>
      <c r="C113" s="11">
        <f>4292</f>
        <v>4292</v>
      </c>
      <c r="D113" s="8" t="s">
        <v>7</v>
      </c>
      <c r="E113" s="13">
        <v>40070</v>
      </c>
      <c r="F113" s="13">
        <v>40156</v>
      </c>
    </row>
    <row r="114" spans="1:6" ht="15">
      <c r="A114" s="6">
        <v>30036305</v>
      </c>
      <c r="B114" s="7" t="s">
        <v>115</v>
      </c>
      <c r="C114" s="11">
        <f>30571</f>
        <v>30571</v>
      </c>
      <c r="D114" s="8" t="s">
        <v>7</v>
      </c>
      <c r="E114" s="13">
        <v>40066</v>
      </c>
      <c r="F114" s="13">
        <v>40276</v>
      </c>
    </row>
    <row r="115" spans="1:6" ht="15">
      <c r="A115" s="6">
        <v>30036860</v>
      </c>
      <c r="B115" s="7" t="s">
        <v>116</v>
      </c>
      <c r="C115" s="11">
        <f>252+7000+50000+1000+10000</f>
        <v>68252</v>
      </c>
      <c r="D115" s="9" t="s">
        <v>18</v>
      </c>
      <c r="E115" s="13"/>
      <c r="F115" s="13"/>
    </row>
    <row r="116" spans="1:6" ht="15">
      <c r="A116" s="6">
        <v>30037722</v>
      </c>
      <c r="B116" s="7" t="s">
        <v>117</v>
      </c>
      <c r="C116" s="11">
        <f>1</f>
        <v>1</v>
      </c>
      <c r="D116" s="8" t="s">
        <v>7</v>
      </c>
      <c r="E116" s="13">
        <v>39576</v>
      </c>
      <c r="F116" s="13">
        <v>39936</v>
      </c>
    </row>
    <row r="117" spans="1:6" ht="15">
      <c r="A117" s="6">
        <v>30040029</v>
      </c>
      <c r="B117" s="7" t="s">
        <v>118</v>
      </c>
      <c r="C117" s="11">
        <f>42331+70000</f>
        <v>112331</v>
      </c>
      <c r="D117" s="8" t="s">
        <v>7</v>
      </c>
      <c r="E117" s="13">
        <v>40087</v>
      </c>
      <c r="F117" s="13">
        <v>40459</v>
      </c>
    </row>
    <row r="118" spans="1:6" ht="15">
      <c r="A118" s="6">
        <v>30040126</v>
      </c>
      <c r="B118" s="7" t="s">
        <v>119</v>
      </c>
      <c r="C118" s="11">
        <f>43740+72169</f>
        <v>115909</v>
      </c>
      <c r="D118" s="8" t="s">
        <v>7</v>
      </c>
      <c r="E118" s="13">
        <v>40203</v>
      </c>
      <c r="F118" s="13">
        <v>40473</v>
      </c>
    </row>
    <row r="119" spans="1:6" ht="15">
      <c r="A119" s="6">
        <v>30040496</v>
      </c>
      <c r="B119" s="7" t="s">
        <v>120</v>
      </c>
      <c r="C119" s="11">
        <f>77447+5820+154000+61349+85109</f>
        <v>383725</v>
      </c>
      <c r="D119" s="8" t="s">
        <v>7</v>
      </c>
      <c r="E119" s="13">
        <v>40045</v>
      </c>
      <c r="F119" s="13">
        <v>40345</v>
      </c>
    </row>
    <row r="120" spans="1:6" ht="15">
      <c r="A120" s="6">
        <v>30040539</v>
      </c>
      <c r="B120" s="7" t="s">
        <v>121</v>
      </c>
      <c r="C120" s="11">
        <f>1164+1243</f>
        <v>2407</v>
      </c>
      <c r="D120" s="8" t="s">
        <v>7</v>
      </c>
      <c r="E120" s="13">
        <v>39563</v>
      </c>
      <c r="F120" s="13">
        <v>39938</v>
      </c>
    </row>
    <row r="121" spans="1:6" ht="15">
      <c r="A121" s="6">
        <v>30042568</v>
      </c>
      <c r="B121" s="7" t="s">
        <v>122</v>
      </c>
      <c r="C121" s="11">
        <f>1</f>
        <v>1</v>
      </c>
      <c r="D121" s="8" t="s">
        <v>7</v>
      </c>
      <c r="E121" s="13">
        <v>39444</v>
      </c>
      <c r="F121" s="13">
        <v>39774</v>
      </c>
    </row>
    <row r="122" spans="1:6" ht="15">
      <c r="A122" s="6">
        <v>30042797</v>
      </c>
      <c r="B122" s="7" t="s">
        <v>123</v>
      </c>
      <c r="C122" s="11">
        <f>58945+58946</f>
        <v>117891</v>
      </c>
      <c r="D122" s="8" t="s">
        <v>7</v>
      </c>
      <c r="E122" s="13">
        <v>39998</v>
      </c>
      <c r="F122" s="13">
        <v>40358</v>
      </c>
    </row>
    <row r="123" spans="1:6" ht="15">
      <c r="A123" s="6">
        <v>30043316</v>
      </c>
      <c r="B123" s="7" t="s">
        <v>124</v>
      </c>
      <c r="C123" s="11">
        <f>157341+221000+760+1500+372561</f>
        <v>753162</v>
      </c>
      <c r="D123" s="8" t="s">
        <v>7</v>
      </c>
      <c r="E123" s="13">
        <v>40071</v>
      </c>
      <c r="F123" s="13">
        <v>40431</v>
      </c>
    </row>
    <row r="124" spans="1:6" ht="15">
      <c r="A124" s="6">
        <v>30043348</v>
      </c>
      <c r="B124" s="7" t="s">
        <v>125</v>
      </c>
      <c r="C124" s="11">
        <f>168216+1138+200000+2578</f>
        <v>371932</v>
      </c>
      <c r="D124" s="8" t="s">
        <v>7</v>
      </c>
      <c r="E124" s="13">
        <v>39861</v>
      </c>
      <c r="F124" s="13">
        <v>40260</v>
      </c>
    </row>
    <row r="125" spans="1:6" ht="15">
      <c r="A125" s="6">
        <v>30043354</v>
      </c>
      <c r="B125" s="7" t="s">
        <v>126</v>
      </c>
      <c r="C125" s="11">
        <f>18113+27691</f>
        <v>45804</v>
      </c>
      <c r="D125" s="8" t="s">
        <v>7</v>
      </c>
      <c r="E125" s="13">
        <v>39454</v>
      </c>
      <c r="F125" s="13">
        <v>40257</v>
      </c>
    </row>
    <row r="126" spans="1:6" ht="15">
      <c r="A126" s="6">
        <v>30043481</v>
      </c>
      <c r="B126" s="7" t="s">
        <v>127</v>
      </c>
      <c r="C126" s="11">
        <f>5897</f>
        <v>5897</v>
      </c>
      <c r="D126" s="8" t="s">
        <v>7</v>
      </c>
      <c r="E126" s="13">
        <v>39514</v>
      </c>
      <c r="F126" s="13">
        <v>40081</v>
      </c>
    </row>
    <row r="127" spans="1:6" ht="15">
      <c r="A127" s="6">
        <v>30043645</v>
      </c>
      <c r="B127" s="7" t="s">
        <v>128</v>
      </c>
      <c r="C127" s="11">
        <f>1000</f>
        <v>1000</v>
      </c>
      <c r="D127" s="8" t="s">
        <v>7</v>
      </c>
      <c r="E127" s="13">
        <v>39303</v>
      </c>
      <c r="F127" s="13">
        <v>39902</v>
      </c>
    </row>
    <row r="128" spans="1:6" ht="15">
      <c r="A128" s="6">
        <v>30043695</v>
      </c>
      <c r="B128" s="7" t="s">
        <v>129</v>
      </c>
      <c r="C128" s="11">
        <f>4791+30985</f>
        <v>35776</v>
      </c>
      <c r="D128" s="8" t="s">
        <v>7</v>
      </c>
      <c r="E128" s="13">
        <v>39840</v>
      </c>
      <c r="F128" s="13">
        <v>40050</v>
      </c>
    </row>
    <row r="129" spans="1:6" ht="15">
      <c r="A129" s="6">
        <v>30044014</v>
      </c>
      <c r="B129" s="7" t="s">
        <v>130</v>
      </c>
      <c r="C129" s="11">
        <f>1</f>
        <v>1</v>
      </c>
      <c r="D129" s="8" t="s">
        <v>7</v>
      </c>
      <c r="E129" s="13">
        <v>40179</v>
      </c>
      <c r="F129" s="13">
        <v>40539</v>
      </c>
    </row>
    <row r="130" spans="1:6" ht="15">
      <c r="A130" s="6">
        <v>30044080</v>
      </c>
      <c r="B130" s="7" t="s">
        <v>131</v>
      </c>
      <c r="C130" s="11">
        <f>11723+50000</f>
        <v>61723</v>
      </c>
      <c r="D130" s="8" t="s">
        <v>7</v>
      </c>
      <c r="E130" s="13">
        <v>39980</v>
      </c>
      <c r="F130" s="13">
        <v>40340</v>
      </c>
    </row>
    <row r="131" spans="1:6" ht="15">
      <c r="A131" s="6">
        <v>30044192</v>
      </c>
      <c r="B131" s="7" t="s">
        <v>132</v>
      </c>
      <c r="C131" s="11">
        <f>58847+28000+65602</f>
        <v>152449</v>
      </c>
      <c r="D131" s="8" t="s">
        <v>7</v>
      </c>
      <c r="E131" s="13">
        <v>39610</v>
      </c>
      <c r="F131" s="13">
        <v>39975</v>
      </c>
    </row>
    <row r="132" spans="1:6" ht="15">
      <c r="A132" s="6">
        <v>30044266</v>
      </c>
      <c r="B132" s="7" t="s">
        <v>133</v>
      </c>
      <c r="C132" s="11">
        <f>4013</f>
        <v>4013</v>
      </c>
      <c r="D132" s="8" t="s">
        <v>7</v>
      </c>
      <c r="E132" s="13">
        <v>39576</v>
      </c>
      <c r="F132" s="13">
        <v>39936</v>
      </c>
    </row>
    <row r="133" spans="1:6" ht="15">
      <c r="A133" s="6">
        <v>30044309</v>
      </c>
      <c r="B133" s="7" t="s">
        <v>134</v>
      </c>
      <c r="C133" s="11">
        <f>472+7000</f>
        <v>7472</v>
      </c>
      <c r="D133" s="8" t="s">
        <v>7</v>
      </c>
      <c r="E133" s="13">
        <v>39604</v>
      </c>
      <c r="F133" s="13">
        <v>39934</v>
      </c>
    </row>
    <row r="134" spans="1:6" ht="15">
      <c r="A134" s="6">
        <v>30044384</v>
      </c>
      <c r="B134" s="7" t="s">
        <v>135</v>
      </c>
      <c r="C134" s="11">
        <f>4207</f>
        <v>4207</v>
      </c>
      <c r="D134" s="8" t="s">
        <v>7</v>
      </c>
      <c r="E134" s="13">
        <v>39601</v>
      </c>
      <c r="F134" s="13">
        <v>40116</v>
      </c>
    </row>
    <row r="135" spans="1:6" ht="15">
      <c r="A135" s="6">
        <v>30044687</v>
      </c>
      <c r="B135" s="7" t="s">
        <v>136</v>
      </c>
      <c r="C135" s="11">
        <f>1</f>
        <v>1</v>
      </c>
      <c r="D135" s="8" t="s">
        <v>7</v>
      </c>
      <c r="E135" s="13">
        <v>39069</v>
      </c>
      <c r="F135" s="13">
        <v>39293</v>
      </c>
    </row>
    <row r="136" spans="1:6" ht="15">
      <c r="A136" s="6">
        <v>30044915</v>
      </c>
      <c r="B136" s="7" t="s">
        <v>137</v>
      </c>
      <c r="C136" s="11">
        <f>692</f>
        <v>692</v>
      </c>
      <c r="D136" s="8" t="s">
        <v>7</v>
      </c>
      <c r="E136" s="13">
        <v>38896</v>
      </c>
      <c r="F136" s="13">
        <v>39873</v>
      </c>
    </row>
    <row r="137" spans="1:6" ht="15">
      <c r="A137" s="6">
        <v>30044943</v>
      </c>
      <c r="B137" s="7" t="s">
        <v>138</v>
      </c>
      <c r="C137" s="12">
        <f>5000+6360</f>
        <v>11360</v>
      </c>
      <c r="D137" s="8" t="s">
        <v>7</v>
      </c>
      <c r="E137" s="13">
        <v>39436</v>
      </c>
      <c r="F137" s="13">
        <v>39676</v>
      </c>
    </row>
    <row r="138" spans="1:6" ht="15">
      <c r="A138" s="6">
        <v>30045314</v>
      </c>
      <c r="B138" s="7" t="s">
        <v>139</v>
      </c>
      <c r="C138" s="11">
        <f>1000</f>
        <v>1000</v>
      </c>
      <c r="D138" s="8" t="s">
        <v>7</v>
      </c>
      <c r="E138" s="13">
        <v>40064</v>
      </c>
      <c r="F138" s="13">
        <v>40209</v>
      </c>
    </row>
    <row r="139" spans="1:6" ht="15">
      <c r="A139" s="6">
        <v>30045318</v>
      </c>
      <c r="B139" s="7" t="s">
        <v>140</v>
      </c>
      <c r="C139" s="11">
        <f>1000</f>
        <v>1000</v>
      </c>
      <c r="D139" s="9" t="s">
        <v>18</v>
      </c>
      <c r="E139" s="13"/>
      <c r="F139" s="13"/>
    </row>
    <row r="140" spans="1:6" ht="15">
      <c r="A140" s="6">
        <v>30045502</v>
      </c>
      <c r="B140" s="7" t="s">
        <v>141</v>
      </c>
      <c r="C140" s="11">
        <f>65920+69527+13519+102793+13848+35000</f>
        <v>300607</v>
      </c>
      <c r="D140" s="8" t="s">
        <v>7</v>
      </c>
      <c r="E140" s="13">
        <v>39853</v>
      </c>
      <c r="F140" s="13">
        <v>40093</v>
      </c>
    </row>
    <row r="141" spans="1:6" ht="15">
      <c r="A141" s="6">
        <v>30045612</v>
      </c>
      <c r="B141" s="7" t="s">
        <v>142</v>
      </c>
      <c r="C141" s="11">
        <f>17520+100000-53510</f>
        <v>64010</v>
      </c>
      <c r="D141" s="8" t="s">
        <v>7</v>
      </c>
      <c r="E141" s="13">
        <v>39958</v>
      </c>
      <c r="F141" s="13">
        <v>40288</v>
      </c>
    </row>
    <row r="142" spans="1:6" ht="15">
      <c r="A142" s="6">
        <v>30045688</v>
      </c>
      <c r="B142" s="7" t="s">
        <v>143</v>
      </c>
      <c r="C142" s="11">
        <f>12087+4544</f>
        <v>16631</v>
      </c>
      <c r="D142" s="8" t="s">
        <v>7</v>
      </c>
      <c r="E142" s="13">
        <v>39800</v>
      </c>
      <c r="F142" s="13">
        <v>40190</v>
      </c>
    </row>
    <row r="143" spans="1:6" ht="15">
      <c r="A143" s="6">
        <v>30045702</v>
      </c>
      <c r="B143" s="7" t="s">
        <v>144</v>
      </c>
      <c r="C143" s="11">
        <f>654</f>
        <v>654</v>
      </c>
      <c r="D143" s="8" t="s">
        <v>7</v>
      </c>
      <c r="E143" s="13">
        <v>39260</v>
      </c>
      <c r="F143" s="13">
        <v>39903</v>
      </c>
    </row>
    <row r="144" spans="1:6" ht="15">
      <c r="A144" s="6">
        <v>30045719</v>
      </c>
      <c r="B144" s="7" t="s">
        <v>145</v>
      </c>
      <c r="C144" s="11">
        <f>4200+50000+288922</f>
        <v>343122</v>
      </c>
      <c r="D144" s="9" t="s">
        <v>18</v>
      </c>
      <c r="E144" s="13"/>
      <c r="F144" s="13"/>
    </row>
    <row r="145" spans="1:6" ht="15">
      <c r="A145" s="6">
        <v>30046530</v>
      </c>
      <c r="B145" s="7" t="s">
        <v>146</v>
      </c>
      <c r="C145" s="11">
        <f>23901</f>
        <v>23901</v>
      </c>
      <c r="D145" s="8" t="s">
        <v>7</v>
      </c>
      <c r="E145" s="13">
        <v>39077</v>
      </c>
      <c r="F145" s="13">
        <v>40077</v>
      </c>
    </row>
    <row r="146" spans="1:6" ht="15">
      <c r="A146" s="6">
        <v>30046718</v>
      </c>
      <c r="B146" s="7" t="s">
        <v>147</v>
      </c>
      <c r="C146" s="11">
        <f>1000</f>
        <v>1000</v>
      </c>
      <c r="D146" s="9" t="s">
        <v>18</v>
      </c>
      <c r="E146" s="13"/>
      <c r="F146" s="13"/>
    </row>
    <row r="147" spans="1:6" ht="15">
      <c r="A147" s="6">
        <v>30046952</v>
      </c>
      <c r="B147" s="7" t="s">
        <v>148</v>
      </c>
      <c r="C147" s="11">
        <f>984</f>
        <v>984</v>
      </c>
      <c r="D147" s="8" t="s">
        <v>7</v>
      </c>
      <c r="E147" s="13">
        <v>39112</v>
      </c>
      <c r="F147" s="13">
        <v>39325</v>
      </c>
    </row>
    <row r="148" spans="1:6" ht="15">
      <c r="A148" s="6">
        <v>30057874</v>
      </c>
      <c r="B148" s="7" t="s">
        <v>149</v>
      </c>
      <c r="C148" s="11">
        <f>512</f>
        <v>512</v>
      </c>
      <c r="D148" s="8" t="s">
        <v>7</v>
      </c>
      <c r="E148" s="13">
        <v>39563</v>
      </c>
      <c r="F148" s="13">
        <v>39782</v>
      </c>
    </row>
    <row r="149" spans="1:6" ht="15">
      <c r="A149" s="6">
        <v>30058906</v>
      </c>
      <c r="B149" s="7" t="s">
        <v>150</v>
      </c>
      <c r="C149" s="11">
        <f>8334+2000</f>
        <v>10334</v>
      </c>
      <c r="D149" s="8" t="s">
        <v>7</v>
      </c>
      <c r="E149" s="13">
        <v>39525</v>
      </c>
      <c r="F149" s="13">
        <v>39980</v>
      </c>
    </row>
    <row r="150" spans="1:6" ht="15">
      <c r="A150" s="6">
        <v>30061153</v>
      </c>
      <c r="B150" s="7" t="s">
        <v>151</v>
      </c>
      <c r="C150" s="11">
        <f>1001+8000+50000+1141+2709+450000-10709-500000</f>
        <v>2142</v>
      </c>
      <c r="D150" s="8" t="s">
        <v>7</v>
      </c>
      <c r="E150" s="13">
        <v>39965</v>
      </c>
      <c r="F150" s="13">
        <v>40325</v>
      </c>
    </row>
    <row r="151" spans="1:6" ht="15">
      <c r="A151" s="6">
        <v>30061242</v>
      </c>
      <c r="B151" s="7" t="s">
        <v>152</v>
      </c>
      <c r="C151" s="11">
        <f>1607+1000+10000-1000-10000</f>
        <v>1607</v>
      </c>
      <c r="D151" s="10" t="s">
        <v>26</v>
      </c>
      <c r="E151" s="13"/>
      <c r="F151" s="13"/>
    </row>
    <row r="152" spans="1:6" ht="15">
      <c r="A152" s="6">
        <v>30061509</v>
      </c>
      <c r="B152" s="7" t="s">
        <v>153</v>
      </c>
      <c r="C152" s="11">
        <f>1+349</f>
        <v>350</v>
      </c>
      <c r="D152" s="8" t="s">
        <v>7</v>
      </c>
      <c r="E152" s="13">
        <v>39854</v>
      </c>
      <c r="F152" s="13">
        <v>40004</v>
      </c>
    </row>
    <row r="153" spans="1:6" ht="15">
      <c r="A153" s="6">
        <v>30061571</v>
      </c>
      <c r="B153" s="7" t="s">
        <v>154</v>
      </c>
      <c r="C153" s="11">
        <f>1</f>
        <v>1</v>
      </c>
      <c r="D153" s="8" t="s">
        <v>7</v>
      </c>
      <c r="E153" s="13">
        <v>40026</v>
      </c>
      <c r="F153" s="13">
        <v>40386</v>
      </c>
    </row>
    <row r="154" spans="1:6" ht="15">
      <c r="A154" s="6">
        <v>30061679</v>
      </c>
      <c r="B154" s="7" t="s">
        <v>155</v>
      </c>
      <c r="C154" s="11">
        <f>51905-30000</f>
        <v>21905</v>
      </c>
      <c r="D154" s="8" t="s">
        <v>7</v>
      </c>
      <c r="E154" s="13">
        <v>39637</v>
      </c>
      <c r="F154" s="13">
        <v>40039</v>
      </c>
    </row>
    <row r="155" spans="1:6" ht="15">
      <c r="A155" s="6">
        <v>30063299</v>
      </c>
      <c r="B155" s="7" t="s">
        <v>156</v>
      </c>
      <c r="C155" s="11">
        <f>1+1+1</f>
        <v>3</v>
      </c>
      <c r="D155" s="8" t="s">
        <v>7</v>
      </c>
      <c r="E155" s="13">
        <v>39164</v>
      </c>
      <c r="F155" s="13">
        <v>39884</v>
      </c>
    </row>
    <row r="156" spans="1:6" ht="15">
      <c r="A156" s="6">
        <v>30063495</v>
      </c>
      <c r="B156" s="7" t="s">
        <v>157</v>
      </c>
      <c r="C156" s="11">
        <f>554+3831</f>
        <v>4385</v>
      </c>
      <c r="D156" s="8" t="s">
        <v>7</v>
      </c>
      <c r="E156" s="13">
        <v>39517</v>
      </c>
      <c r="F156" s="13">
        <v>39751</v>
      </c>
    </row>
    <row r="157" spans="1:6" ht="15">
      <c r="A157" s="6">
        <v>30063499</v>
      </c>
      <c r="B157" s="7" t="s">
        <v>158</v>
      </c>
      <c r="C157" s="11">
        <f>225361-224361</f>
        <v>1000</v>
      </c>
      <c r="D157" s="9" t="s">
        <v>18</v>
      </c>
      <c r="E157" s="13"/>
      <c r="F157" s="13"/>
    </row>
    <row r="158" spans="1:6" ht="15">
      <c r="A158" s="6">
        <v>30063848</v>
      </c>
      <c r="B158" s="7" t="s">
        <v>159</v>
      </c>
      <c r="C158" s="11">
        <f>64960</f>
        <v>64960</v>
      </c>
      <c r="D158" s="9" t="s">
        <v>18</v>
      </c>
      <c r="E158" s="13"/>
      <c r="F158" s="13"/>
    </row>
    <row r="159" spans="1:6" ht="15">
      <c r="A159" s="6">
        <v>30063871</v>
      </c>
      <c r="B159" s="7" t="s">
        <v>160</v>
      </c>
      <c r="C159" s="11">
        <f>1300+82000+100000+2600+117745</f>
        <v>303645</v>
      </c>
      <c r="D159" s="8" t="s">
        <v>7</v>
      </c>
      <c r="E159" s="13">
        <v>40053</v>
      </c>
      <c r="F159" s="13">
        <v>40323</v>
      </c>
    </row>
    <row r="160" spans="1:6" ht="15">
      <c r="A160" s="6">
        <v>30063935</v>
      </c>
      <c r="B160" s="7" t="s">
        <v>161</v>
      </c>
      <c r="C160" s="11">
        <f>34648+30000</f>
        <v>64648</v>
      </c>
      <c r="D160" s="8" t="s">
        <v>7</v>
      </c>
      <c r="E160" s="13">
        <v>39503</v>
      </c>
      <c r="F160" s="13">
        <v>40344</v>
      </c>
    </row>
    <row r="161" spans="1:6" ht="15">
      <c r="A161" s="6">
        <v>30064142</v>
      </c>
      <c r="B161" s="7" t="s">
        <v>162</v>
      </c>
      <c r="C161" s="11">
        <f>1000</f>
        <v>1000</v>
      </c>
      <c r="D161" s="8" t="s">
        <v>7</v>
      </c>
      <c r="E161" s="13">
        <v>39608</v>
      </c>
      <c r="F161" s="13">
        <v>39788</v>
      </c>
    </row>
    <row r="162" spans="1:6" ht="15">
      <c r="A162" s="6">
        <v>30064492</v>
      </c>
      <c r="B162" s="7" t="s">
        <v>163</v>
      </c>
      <c r="C162" s="11">
        <f>1455+300000-300000</f>
        <v>1455</v>
      </c>
      <c r="D162" s="10" t="s">
        <v>26</v>
      </c>
      <c r="E162" s="13"/>
      <c r="F162" s="13"/>
    </row>
    <row r="163" spans="1:6" ht="15">
      <c r="A163" s="6">
        <v>30064682</v>
      </c>
      <c r="B163" s="7" t="s">
        <v>164</v>
      </c>
      <c r="C163" s="11">
        <f>6412</f>
        <v>6412</v>
      </c>
      <c r="D163" s="8" t="s">
        <v>7</v>
      </c>
      <c r="E163" s="13">
        <v>39882</v>
      </c>
      <c r="F163" s="13">
        <v>39741</v>
      </c>
    </row>
    <row r="164" spans="1:6" ht="15">
      <c r="A164" s="6">
        <v>30064704</v>
      </c>
      <c r="B164" s="7" t="s">
        <v>165</v>
      </c>
      <c r="C164" s="11">
        <f>1492</f>
        <v>1492</v>
      </c>
      <c r="D164" s="8" t="s">
        <v>7</v>
      </c>
      <c r="E164" s="13">
        <v>39626</v>
      </c>
      <c r="F164" s="13">
        <v>39986</v>
      </c>
    </row>
    <row r="165" spans="1:6" ht="15">
      <c r="A165" s="6">
        <v>30064766</v>
      </c>
      <c r="B165" s="7" t="s">
        <v>166</v>
      </c>
      <c r="C165" s="11">
        <f>1</f>
        <v>1</v>
      </c>
      <c r="D165" s="10" t="s">
        <v>26</v>
      </c>
      <c r="E165" s="13"/>
      <c r="F165" s="13"/>
    </row>
    <row r="166" spans="1:6" ht="15">
      <c r="A166" s="6">
        <v>30064827</v>
      </c>
      <c r="B166" s="7" t="s">
        <v>167</v>
      </c>
      <c r="C166" s="11">
        <f>4973+1000+10000-1000-10000</f>
        <v>4973</v>
      </c>
      <c r="D166" s="10" t="s">
        <v>26</v>
      </c>
      <c r="E166" s="13"/>
      <c r="F166" s="13"/>
    </row>
    <row r="167" spans="1:6" ht="15">
      <c r="A167" s="6">
        <v>30065086</v>
      </c>
      <c r="B167" s="7" t="s">
        <v>168</v>
      </c>
      <c r="C167" s="11">
        <f>5773</f>
        <v>5773</v>
      </c>
      <c r="D167" s="9" t="s">
        <v>18</v>
      </c>
      <c r="E167" s="13"/>
      <c r="F167" s="13"/>
    </row>
    <row r="168" spans="1:6" ht="15">
      <c r="A168" s="6">
        <v>30065087</v>
      </c>
      <c r="B168" s="7" t="s">
        <v>169</v>
      </c>
      <c r="C168" s="11">
        <f>1831</f>
        <v>1831</v>
      </c>
      <c r="D168" s="9" t="s">
        <v>18</v>
      </c>
      <c r="E168" s="13"/>
      <c r="F168" s="13"/>
    </row>
    <row r="169" spans="1:6" ht="15">
      <c r="A169" s="6">
        <v>30065088</v>
      </c>
      <c r="B169" s="7" t="s">
        <v>170</v>
      </c>
      <c r="C169" s="11">
        <f>44800+10000</f>
        <v>54800</v>
      </c>
      <c r="D169" s="8" t="s">
        <v>7</v>
      </c>
      <c r="E169" s="13">
        <v>39729</v>
      </c>
      <c r="F169" s="13">
        <v>40089</v>
      </c>
    </row>
    <row r="170" spans="1:6" ht="15">
      <c r="A170" s="6">
        <v>30065155</v>
      </c>
      <c r="B170" s="7" t="s">
        <v>171</v>
      </c>
      <c r="C170" s="11">
        <f>751</f>
        <v>751</v>
      </c>
      <c r="D170" s="8" t="s">
        <v>7</v>
      </c>
      <c r="E170" s="13">
        <v>39454</v>
      </c>
      <c r="F170" s="13">
        <v>39524</v>
      </c>
    </row>
    <row r="171" spans="1:6" ht="15">
      <c r="A171" s="6">
        <v>30065155</v>
      </c>
      <c r="B171" s="7" t="s">
        <v>172</v>
      </c>
      <c r="C171" s="11">
        <f>7546+100000+50000</f>
        <v>157546</v>
      </c>
      <c r="D171" s="8" t="s">
        <v>7</v>
      </c>
      <c r="E171" s="13">
        <v>40205</v>
      </c>
      <c r="F171" s="13">
        <v>40534</v>
      </c>
    </row>
    <row r="172" spans="1:6" ht="15">
      <c r="A172" s="6">
        <v>30065689</v>
      </c>
      <c r="B172" s="7" t="s">
        <v>173</v>
      </c>
      <c r="C172" s="11">
        <f>7593+100897+6968</f>
        <v>115458</v>
      </c>
      <c r="D172" s="8" t="s">
        <v>7</v>
      </c>
      <c r="E172" s="13">
        <v>39681</v>
      </c>
      <c r="F172" s="13">
        <v>40051</v>
      </c>
    </row>
    <row r="173" spans="1:6" ht="15">
      <c r="A173" s="6">
        <v>30065875</v>
      </c>
      <c r="B173" s="7" t="s">
        <v>174</v>
      </c>
      <c r="C173" s="11">
        <f>1</f>
        <v>1</v>
      </c>
      <c r="D173" s="8" t="s">
        <v>7</v>
      </c>
      <c r="E173" s="13">
        <v>39756</v>
      </c>
      <c r="F173" s="13">
        <v>39980</v>
      </c>
    </row>
    <row r="174" spans="1:6" ht="15">
      <c r="A174" s="6">
        <v>30066098</v>
      </c>
      <c r="B174" s="7" t="s">
        <v>175</v>
      </c>
      <c r="C174" s="11">
        <f>2003+20000-20000</f>
        <v>2003</v>
      </c>
      <c r="D174" s="9" t="s">
        <v>18</v>
      </c>
      <c r="E174" s="13"/>
      <c r="F174" s="13"/>
    </row>
    <row r="175" spans="1:6" ht="15">
      <c r="A175" s="6">
        <v>30066278</v>
      </c>
      <c r="B175" s="7" t="s">
        <v>176</v>
      </c>
      <c r="C175" s="11">
        <f>109039</f>
        <v>109039</v>
      </c>
      <c r="D175" s="8" t="s">
        <v>7</v>
      </c>
      <c r="E175" s="13">
        <v>39364</v>
      </c>
      <c r="F175" s="13">
        <v>39652</v>
      </c>
    </row>
    <row r="176" spans="1:6" ht="15">
      <c r="A176" s="6">
        <v>30066313</v>
      </c>
      <c r="B176" s="7" t="s">
        <v>177</v>
      </c>
      <c r="C176" s="11">
        <f>25243+68376</f>
        <v>93619</v>
      </c>
      <c r="D176" s="8" t="s">
        <v>7</v>
      </c>
      <c r="E176" s="13">
        <v>39350</v>
      </c>
      <c r="F176" s="13">
        <v>39755</v>
      </c>
    </row>
    <row r="177" spans="1:6" ht="15">
      <c r="A177" s="6">
        <v>30067467</v>
      </c>
      <c r="B177" s="7" t="s">
        <v>178</v>
      </c>
      <c r="C177" s="11">
        <f>54854+10000</f>
        <v>64854</v>
      </c>
      <c r="D177" s="8" t="s">
        <v>7</v>
      </c>
      <c r="E177" s="13">
        <v>40161</v>
      </c>
      <c r="F177" s="13">
        <v>40336</v>
      </c>
    </row>
    <row r="178" spans="1:6" ht="15">
      <c r="A178" s="6">
        <v>30067689</v>
      </c>
      <c r="B178" s="7" t="s">
        <v>179</v>
      </c>
      <c r="C178" s="11">
        <f>465+100000+1600</f>
        <v>102065</v>
      </c>
      <c r="D178" s="8" t="s">
        <v>7</v>
      </c>
      <c r="E178" s="13">
        <v>40231</v>
      </c>
      <c r="F178" s="13">
        <v>40591</v>
      </c>
    </row>
    <row r="179" spans="1:6" ht="15">
      <c r="A179" s="6">
        <v>30068424</v>
      </c>
      <c r="B179" s="7" t="s">
        <v>180</v>
      </c>
      <c r="C179" s="11">
        <f>2095+148060+261303+12744</f>
        <v>424202</v>
      </c>
      <c r="D179" s="8" t="s">
        <v>7</v>
      </c>
      <c r="E179" s="13">
        <v>39898</v>
      </c>
      <c r="F179" s="13">
        <v>40243</v>
      </c>
    </row>
    <row r="180" spans="1:6" ht="15">
      <c r="A180" s="6">
        <v>30068643</v>
      </c>
      <c r="B180" s="7" t="s">
        <v>181</v>
      </c>
      <c r="C180" s="11">
        <f>1000</f>
        <v>1000</v>
      </c>
      <c r="D180" s="8" t="s">
        <v>7</v>
      </c>
      <c r="E180" s="13">
        <v>39363</v>
      </c>
      <c r="F180" s="13">
        <v>39663</v>
      </c>
    </row>
    <row r="181" spans="1:6" ht="15">
      <c r="A181" s="6">
        <v>30068948</v>
      </c>
      <c r="B181" s="7" t="s">
        <v>182</v>
      </c>
      <c r="C181" s="11">
        <f>500+1</f>
        <v>501</v>
      </c>
      <c r="D181" s="9" t="s">
        <v>18</v>
      </c>
      <c r="E181" s="13"/>
      <c r="F181" s="13"/>
    </row>
    <row r="182" spans="1:6" ht="15">
      <c r="A182" s="6">
        <v>30069721</v>
      </c>
      <c r="B182" s="7" t="s">
        <v>183</v>
      </c>
      <c r="C182" s="11">
        <f>13628</f>
        <v>13628</v>
      </c>
      <c r="D182" s="8" t="s">
        <v>7</v>
      </c>
      <c r="E182" s="13">
        <v>39471</v>
      </c>
      <c r="F182" s="13">
        <v>39811</v>
      </c>
    </row>
    <row r="183" spans="1:6" ht="15">
      <c r="A183" s="6">
        <v>30069763</v>
      </c>
      <c r="B183" s="7" t="s">
        <v>184</v>
      </c>
      <c r="C183" s="11">
        <f>500</f>
        <v>500</v>
      </c>
      <c r="D183" s="8" t="s">
        <v>7</v>
      </c>
      <c r="E183" s="13">
        <v>39713</v>
      </c>
      <c r="F183" s="13">
        <v>39803</v>
      </c>
    </row>
    <row r="184" spans="1:6" ht="15">
      <c r="A184" s="6">
        <v>30070450</v>
      </c>
      <c r="B184" s="7" t="s">
        <v>185</v>
      </c>
      <c r="C184" s="11">
        <f>3826</f>
        <v>3826</v>
      </c>
      <c r="D184" s="9" t="s">
        <v>18</v>
      </c>
      <c r="E184" s="13"/>
      <c r="F184" s="13"/>
    </row>
    <row r="185" spans="1:6" ht="15">
      <c r="A185" s="6">
        <v>30070501</v>
      </c>
      <c r="B185" s="7" t="s">
        <v>186</v>
      </c>
      <c r="C185" s="11">
        <f>2142</f>
        <v>2142</v>
      </c>
      <c r="D185" s="9" t="s">
        <v>18</v>
      </c>
      <c r="E185" s="13"/>
      <c r="F185" s="13"/>
    </row>
    <row r="186" spans="1:6" ht="15">
      <c r="A186" s="6">
        <v>30070666</v>
      </c>
      <c r="B186" s="7" t="s">
        <v>187</v>
      </c>
      <c r="C186" s="11">
        <f>13100+5849</f>
        <v>18949</v>
      </c>
      <c r="D186" s="8" t="s">
        <v>7</v>
      </c>
      <c r="E186" s="13">
        <v>39499</v>
      </c>
      <c r="F186" s="13">
        <v>40219</v>
      </c>
    </row>
    <row r="187" spans="1:6" ht="15">
      <c r="A187" s="6">
        <v>30070716</v>
      </c>
      <c r="B187" s="7" t="s">
        <v>188</v>
      </c>
      <c r="C187" s="11">
        <f>25558</f>
        <v>25558</v>
      </c>
      <c r="D187" s="8" t="s">
        <v>7</v>
      </c>
      <c r="E187" s="13">
        <v>39871</v>
      </c>
      <c r="F187" s="13">
        <v>40225</v>
      </c>
    </row>
    <row r="188" spans="1:6" ht="15">
      <c r="A188" s="6">
        <v>30070721</v>
      </c>
      <c r="B188" s="7" t="s">
        <v>189</v>
      </c>
      <c r="C188" s="11">
        <f>12800</f>
        <v>12800</v>
      </c>
      <c r="D188" s="8" t="s">
        <v>7</v>
      </c>
      <c r="E188" s="13">
        <v>39871</v>
      </c>
      <c r="F188" s="13">
        <v>40205</v>
      </c>
    </row>
    <row r="189" spans="1:6" ht="15">
      <c r="A189" s="6">
        <v>30070960</v>
      </c>
      <c r="B189" s="7" t="s">
        <v>190</v>
      </c>
      <c r="C189" s="11">
        <f>4390+10000</f>
        <v>14390</v>
      </c>
      <c r="D189" s="8" t="s">
        <v>7</v>
      </c>
      <c r="E189" s="13">
        <v>39811</v>
      </c>
      <c r="F189" s="13">
        <v>40211</v>
      </c>
    </row>
    <row r="190" spans="1:6" ht="15">
      <c r="A190" s="6">
        <v>30071164</v>
      </c>
      <c r="B190" s="7" t="s">
        <v>191</v>
      </c>
      <c r="C190" s="11">
        <f>73045+28918+14764</f>
        <v>116727</v>
      </c>
      <c r="D190" s="8" t="s">
        <v>7</v>
      </c>
      <c r="E190" s="13">
        <v>40063</v>
      </c>
      <c r="F190" s="13">
        <v>40273</v>
      </c>
    </row>
    <row r="191" spans="1:6" ht="15">
      <c r="A191" s="6">
        <v>30071322</v>
      </c>
      <c r="B191" s="7" t="s">
        <v>192</v>
      </c>
      <c r="C191" s="11">
        <f>170076+5004+194524</f>
        <v>369604</v>
      </c>
      <c r="D191" s="8" t="s">
        <v>7</v>
      </c>
      <c r="E191" s="13">
        <v>39874</v>
      </c>
      <c r="F191" s="13">
        <v>40174</v>
      </c>
    </row>
    <row r="192" spans="1:6" ht="15">
      <c r="A192" s="6">
        <v>30071554</v>
      </c>
      <c r="B192" s="7" t="s">
        <v>193</v>
      </c>
      <c r="C192" s="11">
        <f>640</f>
        <v>640</v>
      </c>
      <c r="D192" s="9" t="s">
        <v>16</v>
      </c>
      <c r="E192" s="13"/>
      <c r="F192" s="13"/>
    </row>
    <row r="193" spans="1:6" ht="15">
      <c r="A193" s="6">
        <v>30071782</v>
      </c>
      <c r="B193" s="7" t="s">
        <v>194</v>
      </c>
      <c r="C193" s="11">
        <f>67121+88000+36600</f>
        <v>191721</v>
      </c>
      <c r="D193" s="8" t="s">
        <v>7</v>
      </c>
      <c r="E193" s="13">
        <v>39314</v>
      </c>
      <c r="F193" s="13">
        <v>39923</v>
      </c>
    </row>
    <row r="194" spans="1:6" ht="15">
      <c r="A194" s="6">
        <v>30071855</v>
      </c>
      <c r="B194" s="7" t="s">
        <v>195</v>
      </c>
      <c r="C194" s="11">
        <f>3600+8401</f>
        <v>12001</v>
      </c>
      <c r="D194" s="8" t="s">
        <v>7</v>
      </c>
      <c r="E194" s="13">
        <v>40088</v>
      </c>
      <c r="F194" s="13">
        <v>40298</v>
      </c>
    </row>
    <row r="195" spans="1:6" ht="15">
      <c r="A195" s="6">
        <v>30071886</v>
      </c>
      <c r="B195" s="7" t="s">
        <v>196</v>
      </c>
      <c r="C195" s="11">
        <f>20000+33433</f>
        <v>53433</v>
      </c>
      <c r="D195" s="8" t="s">
        <v>7</v>
      </c>
      <c r="E195" s="13">
        <v>39930</v>
      </c>
      <c r="F195" s="13">
        <v>40230</v>
      </c>
    </row>
    <row r="196" spans="1:6" ht="15">
      <c r="A196" s="6">
        <v>30072038</v>
      </c>
      <c r="B196" s="7" t="s">
        <v>197</v>
      </c>
      <c r="C196" s="11">
        <f>24563</f>
        <v>24563</v>
      </c>
      <c r="D196" s="10" t="s">
        <v>26</v>
      </c>
      <c r="E196" s="13"/>
      <c r="F196" s="13"/>
    </row>
    <row r="197" spans="1:6" ht="15">
      <c r="A197" s="6">
        <v>30072277</v>
      </c>
      <c r="B197" s="7" t="s">
        <v>198</v>
      </c>
      <c r="C197" s="12">
        <f>110000</f>
        <v>110000</v>
      </c>
      <c r="D197" s="8" t="s">
        <v>7</v>
      </c>
      <c r="E197" s="13">
        <v>39995</v>
      </c>
      <c r="F197" s="13">
        <v>40355</v>
      </c>
    </row>
    <row r="198" spans="1:6" ht="15">
      <c r="A198" s="6">
        <v>30072672</v>
      </c>
      <c r="B198" s="7" t="s">
        <v>199</v>
      </c>
      <c r="C198" s="11">
        <f>14612</f>
        <v>14612</v>
      </c>
      <c r="D198" s="9" t="s">
        <v>18</v>
      </c>
      <c r="E198" s="13"/>
      <c r="F198" s="13"/>
    </row>
    <row r="199" spans="1:6" ht="15">
      <c r="A199" s="6">
        <v>30073220</v>
      </c>
      <c r="B199" s="7" t="s">
        <v>200</v>
      </c>
      <c r="C199" s="11">
        <f>484032+8314</f>
        <v>492346</v>
      </c>
      <c r="D199" s="10" t="s">
        <v>26</v>
      </c>
      <c r="E199" s="13"/>
      <c r="F199" s="13"/>
    </row>
    <row r="200" spans="1:6" ht="15">
      <c r="A200" s="6">
        <v>30073287</v>
      </c>
      <c r="B200" s="7" t="s">
        <v>201</v>
      </c>
      <c r="C200" s="11">
        <f>2272+50000</f>
        <v>52272</v>
      </c>
      <c r="D200" s="10" t="s">
        <v>26</v>
      </c>
      <c r="E200" s="13"/>
      <c r="F200" s="13"/>
    </row>
    <row r="201" spans="1:6" ht="15">
      <c r="A201" s="6">
        <v>30073288</v>
      </c>
      <c r="B201" s="7" t="s">
        <v>202</v>
      </c>
      <c r="C201" s="11">
        <f>2373+276847+3138+434000</f>
        <v>716358</v>
      </c>
      <c r="D201" s="8" t="s">
        <v>7</v>
      </c>
      <c r="E201" s="13">
        <v>39912</v>
      </c>
      <c r="F201" s="13">
        <v>40422</v>
      </c>
    </row>
    <row r="202" spans="1:6" ht="15">
      <c r="A202" s="6">
        <v>30073526</v>
      </c>
      <c r="B202" s="7" t="s">
        <v>203</v>
      </c>
      <c r="C202" s="11">
        <f>500+1000+25000</f>
        <v>26500</v>
      </c>
      <c r="D202" s="9" t="s">
        <v>18</v>
      </c>
      <c r="E202" s="13"/>
      <c r="F202" s="13"/>
    </row>
    <row r="203" spans="1:6" ht="15">
      <c r="A203" s="6">
        <v>30073578</v>
      </c>
      <c r="B203" s="7" t="s">
        <v>204</v>
      </c>
      <c r="C203" s="11">
        <f>61000+100000+2860+72271</f>
        <v>236131</v>
      </c>
      <c r="D203" s="8" t="s">
        <v>7</v>
      </c>
      <c r="E203" s="13">
        <v>40077</v>
      </c>
      <c r="F203" s="13">
        <v>40287</v>
      </c>
    </row>
    <row r="204" spans="1:6" ht="15">
      <c r="A204" s="6">
        <v>30073622</v>
      </c>
      <c r="B204" s="7" t="s">
        <v>205</v>
      </c>
      <c r="C204" s="11">
        <f>4283+50000+20000+1</f>
        <v>74284</v>
      </c>
      <c r="D204" s="9" t="s">
        <v>16</v>
      </c>
      <c r="E204" s="13"/>
      <c r="F204" s="13"/>
    </row>
    <row r="205" spans="1:6" ht="15">
      <c r="A205" s="6">
        <v>30073644</v>
      </c>
      <c r="B205" s="7" t="s">
        <v>206</v>
      </c>
      <c r="C205" s="11">
        <f>207327-206327</f>
        <v>1000</v>
      </c>
      <c r="D205" s="9" t="s">
        <v>18</v>
      </c>
      <c r="E205" s="13"/>
      <c r="F205" s="13"/>
    </row>
    <row r="206" spans="1:6" ht="15">
      <c r="A206" s="6">
        <v>30073683</v>
      </c>
      <c r="B206" s="7" t="s">
        <v>207</v>
      </c>
      <c r="C206" s="11">
        <f>370+50000+500</f>
        <v>50870</v>
      </c>
      <c r="D206" s="9" t="s">
        <v>18</v>
      </c>
      <c r="E206" s="13"/>
      <c r="F206" s="13"/>
    </row>
    <row r="207" spans="1:6" ht="15">
      <c r="A207" s="6">
        <v>30073726</v>
      </c>
      <c r="B207" s="7" t="s">
        <v>208</v>
      </c>
      <c r="C207" s="12">
        <f>16000+2240+26603+452</f>
        <v>45295</v>
      </c>
      <c r="D207" s="8" t="s">
        <v>7</v>
      </c>
      <c r="E207" s="13">
        <v>39832</v>
      </c>
      <c r="F207" s="13">
        <v>40562</v>
      </c>
    </row>
    <row r="208" spans="1:6" ht="15">
      <c r="A208" s="6">
        <v>30073999</v>
      </c>
      <c r="B208" s="7" t="s">
        <v>209</v>
      </c>
      <c r="C208" s="11">
        <f>6000</f>
        <v>6000</v>
      </c>
      <c r="D208" s="8" t="s">
        <v>7</v>
      </c>
      <c r="E208" s="13">
        <v>39881</v>
      </c>
      <c r="F208" s="13">
        <v>40029</v>
      </c>
    </row>
    <row r="209" spans="1:6" ht="15">
      <c r="A209" s="6">
        <v>30074218</v>
      </c>
      <c r="B209" s="7" t="s">
        <v>210</v>
      </c>
      <c r="C209" s="11">
        <f>5000+50000</f>
        <v>55000</v>
      </c>
      <c r="D209" s="9" t="s">
        <v>18</v>
      </c>
      <c r="E209" s="13"/>
      <c r="F209" s="13"/>
    </row>
    <row r="210" spans="1:6" ht="15">
      <c r="A210" s="6">
        <v>30074289</v>
      </c>
      <c r="B210" s="7" t="s">
        <v>211</v>
      </c>
      <c r="C210" s="11">
        <f>14540</f>
        <v>14540</v>
      </c>
      <c r="D210" s="8" t="s">
        <v>7</v>
      </c>
      <c r="E210" s="13">
        <v>39556</v>
      </c>
      <c r="F210" s="13">
        <v>39956</v>
      </c>
    </row>
    <row r="211" spans="1:6" ht="15">
      <c r="A211" s="6">
        <v>30074313</v>
      </c>
      <c r="B211" s="7" t="s">
        <v>212</v>
      </c>
      <c r="C211" s="11">
        <f>1000</f>
        <v>1000</v>
      </c>
      <c r="D211" s="8" t="s">
        <v>7</v>
      </c>
      <c r="E211" s="13">
        <v>39609</v>
      </c>
      <c r="F211" s="13">
        <v>39789</v>
      </c>
    </row>
    <row r="212" spans="1:6" ht="15">
      <c r="A212" s="6">
        <v>30074779</v>
      </c>
      <c r="B212" s="7" t="s">
        <v>213</v>
      </c>
      <c r="C212" s="11">
        <f>1000</f>
        <v>1000</v>
      </c>
      <c r="D212" s="8" t="s">
        <v>7</v>
      </c>
      <c r="E212" s="13">
        <v>39608</v>
      </c>
      <c r="F212" s="13">
        <v>39788</v>
      </c>
    </row>
    <row r="213" spans="1:6" ht="15">
      <c r="A213" s="6">
        <v>30075875</v>
      </c>
      <c r="B213" s="7" t="s">
        <v>214</v>
      </c>
      <c r="C213" s="11">
        <f>1000</f>
        <v>1000</v>
      </c>
      <c r="D213" s="8" t="s">
        <v>7</v>
      </c>
      <c r="E213" s="13">
        <v>40101</v>
      </c>
      <c r="F213" s="13">
        <v>40371</v>
      </c>
    </row>
    <row r="214" spans="1:6" ht="15">
      <c r="A214" s="6">
        <v>30076159</v>
      </c>
      <c r="B214" s="7" t="s">
        <v>215</v>
      </c>
      <c r="C214" s="11">
        <f>86819-80000</f>
        <v>6819</v>
      </c>
      <c r="D214" s="9" t="s">
        <v>18</v>
      </c>
      <c r="E214" s="13"/>
      <c r="F214" s="13"/>
    </row>
    <row r="215" spans="1:6" ht="15">
      <c r="A215" s="6">
        <v>30076274</v>
      </c>
      <c r="B215" s="7" t="s">
        <v>216</v>
      </c>
      <c r="C215" s="11">
        <f>11550</f>
        <v>11550</v>
      </c>
      <c r="D215" s="8" t="s">
        <v>7</v>
      </c>
      <c r="E215" s="13">
        <v>40186</v>
      </c>
      <c r="F215" s="13">
        <v>40366</v>
      </c>
    </row>
    <row r="216" spans="1:6" ht="15">
      <c r="A216" s="6">
        <v>30076394</v>
      </c>
      <c r="B216" s="7" t="s">
        <v>217</v>
      </c>
      <c r="C216" s="11">
        <f>7630</f>
        <v>7630</v>
      </c>
      <c r="D216" s="8" t="s">
        <v>7</v>
      </c>
      <c r="E216" s="13">
        <v>40117</v>
      </c>
      <c r="F216" s="13">
        <v>40477</v>
      </c>
    </row>
    <row r="217" spans="1:6" ht="15">
      <c r="A217" s="6">
        <v>30076900</v>
      </c>
      <c r="B217" s="7" t="s">
        <v>218</v>
      </c>
      <c r="C217" s="11">
        <f>55581+2155+1047060+20000+90000+78500+412605-35000-30000-120000</f>
        <v>1520901</v>
      </c>
      <c r="D217" s="8" t="s">
        <v>7</v>
      </c>
      <c r="E217" s="13">
        <v>39765</v>
      </c>
      <c r="F217" s="13">
        <v>40335</v>
      </c>
    </row>
    <row r="218" spans="1:6" ht="15">
      <c r="A218" s="6">
        <v>30077170</v>
      </c>
      <c r="B218" s="7" t="s">
        <v>219</v>
      </c>
      <c r="C218" s="11">
        <f>2000+1000</f>
        <v>3000</v>
      </c>
      <c r="D218" s="10" t="s">
        <v>26</v>
      </c>
      <c r="E218" s="13"/>
      <c r="F218" s="13"/>
    </row>
    <row r="219" spans="1:6" ht="15">
      <c r="A219" s="6">
        <v>30077177</v>
      </c>
      <c r="B219" s="7" t="s">
        <v>220</v>
      </c>
      <c r="C219" s="11">
        <f>1000</f>
        <v>1000</v>
      </c>
      <c r="D219" s="9" t="s">
        <v>18</v>
      </c>
      <c r="E219" s="13"/>
      <c r="F219" s="13"/>
    </row>
    <row r="220" spans="1:6" ht="15">
      <c r="A220" s="6">
        <v>30077185</v>
      </c>
      <c r="B220" s="7" t="s">
        <v>221</v>
      </c>
      <c r="C220" s="11">
        <f>22767+3924</f>
        <v>26691</v>
      </c>
      <c r="D220" s="8" t="s">
        <v>7</v>
      </c>
      <c r="E220" s="13">
        <v>39750</v>
      </c>
      <c r="F220" s="13">
        <v>40110</v>
      </c>
    </row>
    <row r="221" spans="1:6" ht="15">
      <c r="A221" s="6">
        <v>30077327</v>
      </c>
      <c r="B221" s="7" t="s">
        <v>222</v>
      </c>
      <c r="C221" s="11">
        <f>8002</f>
        <v>8002</v>
      </c>
      <c r="D221" s="8" t="s">
        <v>7</v>
      </c>
      <c r="E221" s="13">
        <v>40119</v>
      </c>
      <c r="F221" s="13">
        <v>40269</v>
      </c>
    </row>
    <row r="222" spans="1:6" ht="15">
      <c r="A222" s="6">
        <v>30077340</v>
      </c>
      <c r="B222" s="7" t="s">
        <v>223</v>
      </c>
      <c r="C222" s="11">
        <f>15000+35000</f>
        <v>50000</v>
      </c>
      <c r="D222" s="8" t="s">
        <v>7</v>
      </c>
      <c r="E222" s="13">
        <v>39779</v>
      </c>
      <c r="F222" s="13">
        <v>40229</v>
      </c>
    </row>
    <row r="223" spans="1:6" ht="15">
      <c r="A223" s="6">
        <v>30077432</v>
      </c>
      <c r="B223" s="7" t="s">
        <v>224</v>
      </c>
      <c r="C223" s="11">
        <f>1459+5000</f>
        <v>6459</v>
      </c>
      <c r="D223" s="9" t="s">
        <v>18</v>
      </c>
      <c r="E223" s="13"/>
      <c r="F223" s="13"/>
    </row>
    <row r="224" spans="1:6" ht="15">
      <c r="A224" s="6">
        <v>30077433</v>
      </c>
      <c r="B224" s="7" t="s">
        <v>225</v>
      </c>
      <c r="C224" s="11">
        <f>1459+5000</f>
        <v>6459</v>
      </c>
      <c r="D224" s="9" t="s">
        <v>18</v>
      </c>
      <c r="E224" s="13"/>
      <c r="F224" s="13"/>
    </row>
    <row r="225" spans="1:6" ht="15">
      <c r="A225" s="6">
        <v>30077629</v>
      </c>
      <c r="B225" s="7" t="s">
        <v>226</v>
      </c>
      <c r="C225" s="11">
        <f>1154+5000</f>
        <v>6154</v>
      </c>
      <c r="D225" s="9" t="s">
        <v>18</v>
      </c>
      <c r="E225" s="13"/>
      <c r="F225" s="13"/>
    </row>
    <row r="226" spans="1:6" ht="15">
      <c r="A226" s="6">
        <v>30077702</v>
      </c>
      <c r="B226" s="7" t="s">
        <v>227</v>
      </c>
      <c r="C226" s="11">
        <f>1000+1000+30000-1000-30000</f>
        <v>1000</v>
      </c>
      <c r="D226" s="9" t="s">
        <v>18</v>
      </c>
      <c r="E226" s="13"/>
      <c r="F226" s="13"/>
    </row>
    <row r="227" spans="1:6" ht="15">
      <c r="A227" s="6">
        <v>30077785</v>
      </c>
      <c r="B227" s="7" t="s">
        <v>228</v>
      </c>
      <c r="C227" s="11">
        <f>6074+4667+45266+5760</f>
        <v>61767</v>
      </c>
      <c r="D227" s="9" t="s">
        <v>18</v>
      </c>
      <c r="E227" s="13"/>
      <c r="F227" s="13"/>
    </row>
    <row r="228" spans="1:6" ht="15">
      <c r="A228" s="6">
        <v>30078659</v>
      </c>
      <c r="B228" s="7" t="s">
        <v>229</v>
      </c>
      <c r="C228" s="11">
        <f>1329+5000</f>
        <v>6329</v>
      </c>
      <c r="D228" s="9" t="s">
        <v>18</v>
      </c>
      <c r="E228" s="13"/>
      <c r="F228" s="13"/>
    </row>
    <row r="229" spans="1:6" ht="15">
      <c r="A229" s="6">
        <v>30078788</v>
      </c>
      <c r="B229" s="7" t="s">
        <v>230</v>
      </c>
      <c r="C229" s="11">
        <f>55119+2200</f>
        <v>57319</v>
      </c>
      <c r="D229" s="8" t="s">
        <v>7</v>
      </c>
      <c r="E229" s="13">
        <v>40205</v>
      </c>
      <c r="F229" s="13">
        <v>40295</v>
      </c>
    </row>
    <row r="230" spans="1:6" ht="15">
      <c r="A230" s="6">
        <v>30079274</v>
      </c>
      <c r="B230" s="7" t="s">
        <v>231</v>
      </c>
      <c r="C230" s="11">
        <f>44440</f>
        <v>44440</v>
      </c>
      <c r="D230" s="8" t="s">
        <v>7</v>
      </c>
      <c r="E230" s="13">
        <v>39731</v>
      </c>
      <c r="F230" s="13">
        <v>39876</v>
      </c>
    </row>
    <row r="231" spans="1:6" ht="15">
      <c r="A231" s="6">
        <v>30080167</v>
      </c>
      <c r="B231" s="7" t="s">
        <v>232</v>
      </c>
      <c r="C231" s="11">
        <f>3000+2182+19637+141922</f>
        <v>166741</v>
      </c>
      <c r="D231" s="8" t="s">
        <v>7</v>
      </c>
      <c r="E231" s="13">
        <v>40179</v>
      </c>
      <c r="F231" s="13">
        <v>40404</v>
      </c>
    </row>
    <row r="232" spans="1:6" ht="15">
      <c r="A232" s="6">
        <v>30081567</v>
      </c>
      <c r="B232" s="7" t="s">
        <v>233</v>
      </c>
      <c r="C232" s="11">
        <f>105077</f>
        <v>105077</v>
      </c>
      <c r="D232" s="8" t="s">
        <v>7</v>
      </c>
      <c r="E232" s="13">
        <v>40269</v>
      </c>
      <c r="F232" s="13">
        <v>40629</v>
      </c>
    </row>
    <row r="233" spans="1:6" ht="15">
      <c r="A233" s="6">
        <v>30081584</v>
      </c>
      <c r="B233" s="7" t="s">
        <v>234</v>
      </c>
      <c r="C233" s="11">
        <f>6746+500</f>
        <v>7246</v>
      </c>
      <c r="D233" s="8" t="s">
        <v>7</v>
      </c>
      <c r="E233" s="13">
        <v>40198</v>
      </c>
      <c r="F233" s="13">
        <v>40499</v>
      </c>
    </row>
    <row r="234" spans="1:6" ht="15">
      <c r="A234" s="6">
        <v>30081585</v>
      </c>
      <c r="B234" s="7" t="s">
        <v>235</v>
      </c>
      <c r="C234" s="11">
        <f>1000</f>
        <v>1000</v>
      </c>
      <c r="D234" s="8" t="s">
        <v>7</v>
      </c>
      <c r="E234" s="13">
        <v>40056</v>
      </c>
      <c r="F234" s="13">
        <v>40416</v>
      </c>
    </row>
    <row r="235" spans="1:6" ht="15">
      <c r="A235" s="6">
        <v>30083845</v>
      </c>
      <c r="B235" s="7" t="s">
        <v>236</v>
      </c>
      <c r="C235" s="11">
        <f>1</f>
        <v>1</v>
      </c>
      <c r="D235" s="9" t="s">
        <v>16</v>
      </c>
      <c r="E235" s="13"/>
      <c r="F235" s="13"/>
    </row>
    <row r="236" spans="1:6" ht="15">
      <c r="A236" s="6">
        <v>30084033</v>
      </c>
      <c r="B236" s="7" t="s">
        <v>237</v>
      </c>
      <c r="C236" s="11">
        <f>10710+50000+417992</f>
        <v>478702</v>
      </c>
      <c r="D236" s="9" t="s">
        <v>18</v>
      </c>
      <c r="E236" s="13"/>
      <c r="F236" s="13"/>
    </row>
    <row r="237" spans="1:6" ht="15">
      <c r="A237" s="6">
        <v>30084295</v>
      </c>
      <c r="B237" s="7" t="s">
        <v>238</v>
      </c>
      <c r="C237" s="11">
        <f>380+1140+150000+3819</f>
        <v>155339</v>
      </c>
      <c r="D237" s="8" t="s">
        <v>7</v>
      </c>
      <c r="E237" s="13">
        <v>40186</v>
      </c>
      <c r="F237" s="13">
        <v>40366</v>
      </c>
    </row>
    <row r="238" spans="1:6" ht="15">
      <c r="A238" s="6">
        <v>30086575</v>
      </c>
      <c r="B238" s="7" t="s">
        <v>239</v>
      </c>
      <c r="C238" s="11">
        <f>1874+1500+50000-1500-50000</f>
        <v>1874</v>
      </c>
      <c r="D238" s="9" t="s">
        <v>18</v>
      </c>
      <c r="E238" s="13"/>
      <c r="F238" s="13"/>
    </row>
    <row r="239" spans="1:6" ht="15">
      <c r="A239" s="6">
        <v>30087074</v>
      </c>
      <c r="B239" s="7" t="s">
        <v>240</v>
      </c>
      <c r="C239" s="11">
        <f>35700</f>
        <v>35700</v>
      </c>
      <c r="D239" s="8" t="s">
        <v>7</v>
      </c>
      <c r="E239" s="13">
        <v>40192</v>
      </c>
      <c r="F239" s="13">
        <v>40222</v>
      </c>
    </row>
    <row r="240" spans="1:6" ht="15">
      <c r="A240" s="6">
        <v>30087103</v>
      </c>
      <c r="B240" s="7" t="s">
        <v>241</v>
      </c>
      <c r="C240" s="11">
        <f>1</f>
        <v>1</v>
      </c>
      <c r="D240" s="9" t="s">
        <v>16</v>
      </c>
      <c r="E240" s="13"/>
      <c r="F240" s="13"/>
    </row>
    <row r="241" spans="1:6" ht="15">
      <c r="A241" s="6">
        <v>30087249</v>
      </c>
      <c r="B241" s="7" t="s">
        <v>242</v>
      </c>
      <c r="C241" s="11">
        <f>3673</f>
        <v>3673</v>
      </c>
      <c r="D241" s="9" t="s">
        <v>18</v>
      </c>
      <c r="E241" s="13"/>
      <c r="F241" s="13"/>
    </row>
    <row r="242" spans="1:6" ht="15">
      <c r="A242" s="6">
        <v>30087718</v>
      </c>
      <c r="B242" s="7" t="s">
        <v>243</v>
      </c>
      <c r="C242" s="11">
        <f>7850</f>
        <v>7850</v>
      </c>
      <c r="D242" s="10" t="s">
        <v>26</v>
      </c>
      <c r="E242" s="13"/>
      <c r="F242" s="13"/>
    </row>
    <row r="243" spans="1:6" ht="15">
      <c r="A243" s="6">
        <v>30089766</v>
      </c>
      <c r="B243" s="7" t="s">
        <v>244</v>
      </c>
      <c r="C243" s="11">
        <f>2784</f>
        <v>2784</v>
      </c>
      <c r="D243" s="9" t="s">
        <v>18</v>
      </c>
      <c r="E243" s="13"/>
      <c r="F243" s="13"/>
    </row>
    <row r="244" spans="1:6" ht="15">
      <c r="A244" s="6">
        <v>30093366</v>
      </c>
      <c r="B244" s="7" t="s">
        <v>245</v>
      </c>
      <c r="C244" s="11">
        <f>1</f>
        <v>1</v>
      </c>
      <c r="D244" s="9" t="s">
        <v>16</v>
      </c>
      <c r="E244" s="13"/>
      <c r="F244" s="13"/>
    </row>
    <row r="245" spans="1:6" ht="15">
      <c r="A245" s="6">
        <v>30093411</v>
      </c>
      <c r="B245" s="7" t="s">
        <v>246</v>
      </c>
      <c r="C245" s="11">
        <f>8375+1000+10000</f>
        <v>19375</v>
      </c>
      <c r="D245" s="9" t="s">
        <v>18</v>
      </c>
      <c r="E245" s="13"/>
      <c r="F245" s="13"/>
    </row>
    <row r="246" spans="1:6" ht="15">
      <c r="A246" s="6">
        <v>30096453</v>
      </c>
      <c r="B246" s="7" t="s">
        <v>247</v>
      </c>
      <c r="C246" s="11">
        <f>49900</f>
        <v>49900</v>
      </c>
      <c r="D246" s="8" t="s">
        <v>7</v>
      </c>
      <c r="E246" s="13">
        <v>40198</v>
      </c>
      <c r="F246" s="13">
        <v>40224</v>
      </c>
    </row>
    <row r="247" spans="1:6" ht="15">
      <c r="A247" s="6">
        <v>30097621</v>
      </c>
      <c r="B247" s="7" t="s">
        <v>248</v>
      </c>
      <c r="C247" s="11">
        <f>45000</f>
        <v>45000</v>
      </c>
      <c r="D247" s="9" t="s">
        <v>18</v>
      </c>
      <c r="E247" s="13"/>
      <c r="F247" s="13"/>
    </row>
    <row r="248" spans="1:6" ht="15">
      <c r="A248" s="36" t="s">
        <v>265</v>
      </c>
      <c r="B248" s="37"/>
      <c r="C248" s="40">
        <f>+SUM(C19:C247)</f>
        <v>17806857</v>
      </c>
      <c r="D248" s="22"/>
      <c r="E248" s="23"/>
      <c r="F248" s="24"/>
    </row>
    <row r="249" spans="1:6" ht="15">
      <c r="A249" s="38"/>
      <c r="B249" s="39"/>
      <c r="C249" s="41"/>
      <c r="D249" s="25"/>
      <c r="E249" s="26"/>
      <c r="F249" s="27"/>
    </row>
    <row r="250" spans="1:6" ht="15">
      <c r="A250" s="6">
        <v>30065231</v>
      </c>
      <c r="B250" s="7" t="s">
        <v>249</v>
      </c>
      <c r="C250" s="12">
        <f>214000</f>
        <v>214000</v>
      </c>
      <c r="D250" s="8" t="s">
        <v>7</v>
      </c>
      <c r="E250" s="13">
        <v>39934</v>
      </c>
      <c r="F250" s="13">
        <v>40294</v>
      </c>
    </row>
    <row r="251" spans="1:6" ht="15">
      <c r="A251" s="6">
        <v>30068837</v>
      </c>
      <c r="B251" s="7" t="s">
        <v>250</v>
      </c>
      <c r="C251" s="12">
        <f>50722+166028</f>
        <v>216750</v>
      </c>
      <c r="D251" s="8" t="s">
        <v>7</v>
      </c>
      <c r="E251" s="13">
        <v>39393</v>
      </c>
      <c r="F251" s="13">
        <v>40543</v>
      </c>
    </row>
    <row r="252" spans="1:6" ht="15">
      <c r="A252" s="6">
        <v>30072016</v>
      </c>
      <c r="B252" s="7" t="s">
        <v>251</v>
      </c>
      <c r="C252" s="12">
        <f>20000+33000</f>
        <v>53000</v>
      </c>
      <c r="D252" s="8" t="s">
        <v>7</v>
      </c>
      <c r="E252" s="13">
        <v>39812</v>
      </c>
      <c r="F252" s="13">
        <v>40532</v>
      </c>
    </row>
    <row r="253" spans="1:6" ht="15">
      <c r="A253" s="6">
        <v>30077612</v>
      </c>
      <c r="B253" s="7" t="s">
        <v>252</v>
      </c>
      <c r="C253" s="12">
        <f>18750+28568</f>
        <v>47318</v>
      </c>
      <c r="D253" s="8" t="s">
        <v>7</v>
      </c>
      <c r="E253" s="13">
        <v>39643</v>
      </c>
      <c r="F253" s="13">
        <v>40183</v>
      </c>
    </row>
    <row r="254" spans="1:6" ht="15">
      <c r="A254" s="6">
        <v>30077948</v>
      </c>
      <c r="B254" s="7" t="s">
        <v>253</v>
      </c>
      <c r="C254" s="12">
        <f>1281</f>
        <v>1281</v>
      </c>
      <c r="D254" s="8" t="s">
        <v>7</v>
      </c>
      <c r="E254" s="13">
        <v>39716</v>
      </c>
      <c r="F254" s="13">
        <v>40076</v>
      </c>
    </row>
    <row r="255" spans="1:6" ht="15">
      <c r="A255" s="6">
        <v>30078996</v>
      </c>
      <c r="B255" s="7" t="s">
        <v>254</v>
      </c>
      <c r="C255" s="12">
        <f>55390+133286</f>
        <v>188676</v>
      </c>
      <c r="D255" s="8" t="s">
        <v>7</v>
      </c>
      <c r="E255" s="13">
        <v>39813</v>
      </c>
      <c r="F255" s="13">
        <v>40533</v>
      </c>
    </row>
    <row r="256" spans="1:6" ht="15">
      <c r="A256" s="6">
        <v>30098048</v>
      </c>
      <c r="B256" s="7" t="s">
        <v>255</v>
      </c>
      <c r="C256" s="12">
        <f>3466+47157</f>
        <v>50623</v>
      </c>
      <c r="D256" s="9" t="s">
        <v>16</v>
      </c>
      <c r="E256" s="13"/>
      <c r="F256" s="13"/>
    </row>
    <row r="257" spans="1:6" ht="15">
      <c r="A257" s="6">
        <v>30081767</v>
      </c>
      <c r="B257" s="7" t="s">
        <v>256</v>
      </c>
      <c r="C257" s="12">
        <f>50000</f>
        <v>50000</v>
      </c>
      <c r="D257" s="8" t="s">
        <v>7</v>
      </c>
      <c r="E257" s="13">
        <v>40238</v>
      </c>
      <c r="F257" s="13">
        <v>40598</v>
      </c>
    </row>
    <row r="258" spans="1:6" ht="15">
      <c r="A258" s="6">
        <v>30091665</v>
      </c>
      <c r="B258" s="7" t="s">
        <v>257</v>
      </c>
      <c r="C258" s="12">
        <f>20795+1047+59791</f>
        <v>81633</v>
      </c>
      <c r="D258" s="8" t="s">
        <v>7</v>
      </c>
      <c r="E258" s="13">
        <v>40008</v>
      </c>
      <c r="F258" s="13">
        <v>40728</v>
      </c>
    </row>
    <row r="259" spans="1:6" ht="15">
      <c r="A259" s="42" t="s">
        <v>266</v>
      </c>
      <c r="B259" s="43"/>
      <c r="C259" s="46">
        <f>+SUM(C250:C258)</f>
        <v>903281</v>
      </c>
      <c r="D259" s="28"/>
      <c r="E259" s="29"/>
      <c r="F259" s="30"/>
    </row>
    <row r="260" spans="1:6" ht="15">
      <c r="A260" s="44"/>
      <c r="B260" s="45"/>
      <c r="C260" s="47"/>
      <c r="D260" s="31"/>
      <c r="E260" s="32"/>
      <c r="F260" s="33"/>
    </row>
    <row r="261" spans="1:6" ht="15">
      <c r="A261" s="42" t="s">
        <v>258</v>
      </c>
      <c r="B261" s="43"/>
      <c r="C261" s="46">
        <f>+C259+C248+C17</f>
        <v>19015215</v>
      </c>
      <c r="D261" s="56"/>
      <c r="E261" s="22"/>
      <c r="F261" s="24"/>
    </row>
    <row r="262" spans="1:6" ht="15">
      <c r="A262" s="44"/>
      <c r="B262" s="45"/>
      <c r="C262" s="47"/>
      <c r="D262" s="57"/>
      <c r="E262" s="25"/>
      <c r="F262" s="27"/>
    </row>
    <row r="263" spans="1:6" ht="15">
      <c r="A263" s="42" t="s">
        <v>259</v>
      </c>
      <c r="B263" s="43"/>
      <c r="C263" s="46">
        <f>+C265-C261</f>
        <v>3433913</v>
      </c>
      <c r="D263" s="56"/>
      <c r="E263" s="22"/>
      <c r="F263" s="24"/>
    </row>
    <row r="264" spans="1:6" ht="15">
      <c r="A264" s="44"/>
      <c r="B264" s="45"/>
      <c r="C264" s="47"/>
      <c r="D264" s="57"/>
      <c r="E264" s="25"/>
      <c r="F264" s="27"/>
    </row>
    <row r="265" spans="1:6" ht="15">
      <c r="A265" s="42" t="s">
        <v>260</v>
      </c>
      <c r="B265" s="43"/>
      <c r="C265" s="46">
        <v>22449128</v>
      </c>
      <c r="D265" s="50"/>
      <c r="E265" s="51"/>
      <c r="F265" s="52"/>
    </row>
    <row r="266" spans="1:6" ht="15">
      <c r="A266" s="44"/>
      <c r="B266" s="45"/>
      <c r="C266" s="48"/>
      <c r="D266" s="53"/>
      <c r="E266" s="54"/>
      <c r="F266" s="55"/>
    </row>
    <row r="267" ht="15">
      <c r="C267" s="1"/>
    </row>
    <row r="268" spans="1:5" ht="15">
      <c r="A268" s="49" t="s">
        <v>261</v>
      </c>
      <c r="B268" s="49"/>
      <c r="C268" s="49"/>
      <c r="D268" s="49"/>
      <c r="E268" s="49"/>
    </row>
    <row r="269" ht="15">
      <c r="B269" s="14" t="s">
        <v>267</v>
      </c>
    </row>
  </sheetData>
  <sheetProtection/>
  <mergeCells count="24">
    <mergeCell ref="A265:B266"/>
    <mergeCell ref="C265:C266"/>
    <mergeCell ref="A268:E268"/>
    <mergeCell ref="A261:B262"/>
    <mergeCell ref="C261:C262"/>
    <mergeCell ref="A263:B264"/>
    <mergeCell ref="C263:C264"/>
    <mergeCell ref="D265:F266"/>
    <mergeCell ref="D261:D262"/>
    <mergeCell ref="D263:D264"/>
    <mergeCell ref="E261:F262"/>
    <mergeCell ref="E263:F264"/>
    <mergeCell ref="A2:F2"/>
    <mergeCell ref="A3:F3"/>
    <mergeCell ref="D17:F18"/>
    <mergeCell ref="D248:F249"/>
    <mergeCell ref="D259:F260"/>
    <mergeCell ref="E6:F6"/>
    <mergeCell ref="A17:B18"/>
    <mergeCell ref="C17:C18"/>
    <mergeCell ref="A248:B249"/>
    <mergeCell ref="C248:C249"/>
    <mergeCell ref="A259:B260"/>
    <mergeCell ref="C259:C2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2010-05-06T13:23:46Z</dcterms:created>
  <dcterms:modified xsi:type="dcterms:W3CDTF">2010-05-20T20:20:18Z</dcterms:modified>
  <cp:category/>
  <cp:version/>
  <cp:contentType/>
  <cp:contentStatus/>
</cp:coreProperties>
</file>